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de\Downloads\"/>
    </mc:Choice>
  </mc:AlternateContent>
  <xr:revisionPtr revIDLastSave="0" documentId="8_{C470A173-892D-464C-8462-0C7976D6204C}" xr6:coauthVersionLast="47" xr6:coauthVersionMax="47" xr10:uidLastSave="{00000000-0000-0000-0000-000000000000}"/>
  <bookViews>
    <workbookView xWindow="-108" yWindow="-108" windowWidth="23256" windowHeight="13896" xr2:uid="{8048B12F-D9A9-4240-BF91-565E4E737E6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I64" i="1"/>
  <c r="J64" i="1"/>
  <c r="K64" i="1"/>
  <c r="H64" i="1"/>
  <c r="H62" i="1" l="1"/>
  <c r="H58" i="1"/>
  <c r="J58" i="1"/>
  <c r="I58" i="1"/>
  <c r="K63" i="1"/>
  <c r="K59" i="1"/>
  <c r="J63" i="1"/>
  <c r="J62" i="1"/>
  <c r="J60" i="1"/>
  <c r="J59" i="1"/>
  <c r="I63" i="1"/>
  <c r="I62" i="1"/>
  <c r="I59" i="1"/>
  <c r="E76" i="1"/>
  <c r="D76" i="1"/>
  <c r="C76" i="1"/>
  <c r="E68" i="1"/>
  <c r="D68" i="1"/>
  <c r="C68" i="1"/>
  <c r="E60" i="1"/>
  <c r="D60" i="1"/>
  <c r="C60" i="1"/>
  <c r="D52" i="1"/>
  <c r="C52" i="1"/>
  <c r="E77" i="1"/>
  <c r="E69" i="1"/>
  <c r="E61" i="1"/>
  <c r="E52" i="1"/>
  <c r="E53" i="1"/>
  <c r="B6" i="1" l="1"/>
  <c r="E66" i="1"/>
  <c r="E67" i="1" s="1"/>
  <c r="D28" i="1"/>
  <c r="K53" i="1"/>
  <c r="E58" i="1"/>
  <c r="E59" i="1" s="1"/>
  <c r="E48" i="1"/>
  <c r="E57" i="1" s="1"/>
  <c r="E62" i="1" s="1"/>
  <c r="D42" i="1" s="1"/>
  <c r="E22" i="1" s="1"/>
  <c r="E50" i="1"/>
  <c r="E51" i="1" s="1"/>
  <c r="I60" i="1"/>
  <c r="E74" i="1"/>
  <c r="D29" i="1" s="1"/>
  <c r="D74" i="1"/>
  <c r="D75" i="1" s="1"/>
  <c r="C48" i="1"/>
  <c r="C49" i="1" s="1"/>
  <c r="D48" i="1"/>
  <c r="D49" i="1" s="1"/>
  <c r="C56" i="1"/>
  <c r="C64" i="1"/>
  <c r="D72" i="1"/>
  <c r="D64" i="1"/>
  <c r="E64" i="1"/>
  <c r="H53" i="1"/>
  <c r="C28" i="1"/>
  <c r="E72" i="1"/>
  <c r="E56" i="1"/>
  <c r="H60" i="1"/>
  <c r="H65" i="1" s="1"/>
  <c r="H54" i="1"/>
  <c r="H52" i="1"/>
  <c r="C29" i="1"/>
  <c r="C27" i="1"/>
  <c r="H55" i="1"/>
  <c r="D50" i="1"/>
  <c r="C26" i="1"/>
  <c r="K55" i="1" l="1"/>
  <c r="D27" i="1"/>
  <c r="E75" i="1"/>
  <c r="K52" i="1"/>
  <c r="K61" i="1"/>
  <c r="K65" i="1" s="1"/>
  <c r="C57" i="1"/>
  <c r="D51" i="1"/>
  <c r="D54" i="1" s="1"/>
  <c r="C41" i="1" s="1"/>
  <c r="D21" i="1" s="1"/>
  <c r="J52" i="1"/>
  <c r="D57" i="1"/>
  <c r="D65" i="1"/>
  <c r="C73" i="1"/>
  <c r="C65" i="1"/>
  <c r="J55" i="1"/>
  <c r="D73" i="1"/>
  <c r="D78" i="1" s="1"/>
  <c r="C44" i="1" s="1"/>
  <c r="D24" i="1" s="1"/>
  <c r="C74" i="1"/>
  <c r="C75" i="1" s="1"/>
  <c r="D56" i="1"/>
  <c r="D58" i="1"/>
  <c r="C66" i="1"/>
  <c r="C50" i="1"/>
  <c r="D26" i="1"/>
  <c r="K54" i="1"/>
  <c r="E73" i="1"/>
  <c r="E65" i="1"/>
  <c r="E70" i="1" s="1"/>
  <c r="D43" i="1" s="1"/>
  <c r="E23" i="1" s="1"/>
  <c r="C58" i="1"/>
  <c r="C59" i="1" s="1"/>
  <c r="C72" i="1"/>
  <c r="D66" i="1"/>
  <c r="E49" i="1"/>
  <c r="E54" i="1" s="1"/>
  <c r="D41" i="1" s="1"/>
  <c r="E21" i="1" s="1"/>
  <c r="E78" i="1" l="1"/>
  <c r="D44" i="1" s="1"/>
  <c r="E24" i="1" s="1"/>
  <c r="I55" i="1"/>
  <c r="C62" i="1"/>
  <c r="B42" i="1" s="1"/>
  <c r="C22" i="1" s="1"/>
  <c r="J53" i="1"/>
  <c r="D59" i="1"/>
  <c r="D62" i="1" s="1"/>
  <c r="C42" i="1" s="1"/>
  <c r="D22" i="1" s="1"/>
  <c r="I53" i="1"/>
  <c r="D67" i="1"/>
  <c r="D70" i="1" s="1"/>
  <c r="C43" i="1" s="1"/>
  <c r="D23" i="1" s="1"/>
  <c r="J61" i="1"/>
  <c r="J65" i="1" s="1"/>
  <c r="J54" i="1"/>
  <c r="C51" i="1"/>
  <c r="C54" i="1" s="1"/>
  <c r="B41" i="1" s="1"/>
  <c r="C21" i="1" s="1"/>
  <c r="I52" i="1"/>
  <c r="I61" i="1"/>
  <c r="I65" i="1" s="1"/>
  <c r="C67" i="1"/>
  <c r="C70" i="1" s="1"/>
  <c r="B43" i="1" s="1"/>
  <c r="C23" i="1" s="1"/>
  <c r="I54" i="1"/>
  <c r="C78" i="1"/>
  <c r="B44" i="1" s="1"/>
  <c r="C24" i="1" s="1"/>
</calcChain>
</file>

<file path=xl/sharedStrings.xml><?xml version="1.0" encoding="utf-8"?>
<sst xmlns="http://schemas.openxmlformats.org/spreadsheetml/2006/main" count="108" uniqueCount="54">
  <si>
    <t>Gasprijs</t>
  </si>
  <si>
    <t xml:space="preserve">Stroomprijs </t>
  </si>
  <si>
    <t>kwh</t>
  </si>
  <si>
    <t>1 m3 gas</t>
  </si>
  <si>
    <t>SCOP omslagpunt</t>
  </si>
  <si>
    <t>Investering hybride warmtepomp</t>
  </si>
  <si>
    <t>Investering all electric ready  warmtepomp</t>
  </si>
  <si>
    <t>Investering all electric warmtepomp</t>
  </si>
  <si>
    <t>SCOP</t>
  </si>
  <si>
    <t>m3</t>
  </si>
  <si>
    <t>Hybride warmtepomp</t>
  </si>
  <si>
    <t>all electric ready  warmtepomp</t>
  </si>
  <si>
    <t>all electric warmtepomp</t>
  </si>
  <si>
    <t>Onderhoudskosten warmtepomp/jaar</t>
  </si>
  <si>
    <t>Gasbesparing (m3)</t>
  </si>
  <si>
    <t>Gasbesparing (€)</t>
  </si>
  <si>
    <t>Extra elektriciteit (€)</t>
  </si>
  <si>
    <t>Onderhoud (€)</t>
  </si>
  <si>
    <t>Lagere netwerkkosten (€)</t>
  </si>
  <si>
    <t>Extra elektriciteit (kwh)</t>
  </si>
  <si>
    <t>Totaal besparing  (€)</t>
  </si>
  <si>
    <t xml:space="preserve"> (€)</t>
  </si>
  <si>
    <t>Investeringskosten</t>
  </si>
  <si>
    <t>Voorbeeld 1</t>
  </si>
  <si>
    <t>Stroomprijs</t>
  </si>
  <si>
    <t>Gasgebruik</t>
  </si>
  <si>
    <t>Terugverdientijd</t>
  </si>
  <si>
    <t>Na</t>
  </si>
  <si>
    <t>Gasverbruik totaal</t>
  </si>
  <si>
    <t>Gasverbruik verwarming</t>
  </si>
  <si>
    <t>Gasbesparing hybride warmtepomp</t>
  </si>
  <si>
    <t>Onderhoudskosten cv ketel</t>
  </si>
  <si>
    <t>Besparing warmtepomp per jaar</t>
  </si>
  <si>
    <t>Netwerk en leveringskosten gas/jaar</t>
  </si>
  <si>
    <t>Totale kosten over 15 jaar</t>
  </si>
  <si>
    <t>CV ketel</t>
  </si>
  <si>
    <t>All electric warmtepomp</t>
  </si>
  <si>
    <t>Gas</t>
  </si>
  <si>
    <t>Stroom (SCOP 4)</t>
  </si>
  <si>
    <t>Onderhoudskosten warmtepomp</t>
  </si>
  <si>
    <t>Controle berekening bij SCOP 4</t>
  </si>
  <si>
    <t>Investering warmtepomp</t>
  </si>
  <si>
    <t>Investering CV ketel</t>
  </si>
  <si>
    <t>Totaal</t>
  </si>
  <si>
    <t>Gasverbruik warm water</t>
  </si>
  <si>
    <t xml:space="preserve">m3 (rekenregel voor gasverbruik warm water: gemiddeld gasverbruik juni t/m augustus x  12) </t>
  </si>
  <si>
    <t>m3 (totaal gasverbruik voigens jaarafrekening energieleverancier)</t>
  </si>
  <si>
    <r>
      <t xml:space="preserve">Invoer van variabelen </t>
    </r>
    <r>
      <rPr>
        <sz val="12"/>
        <color rgb="FFFF0000"/>
        <rFont val="Calibri"/>
        <family val="2"/>
        <scheme val="minor"/>
      </rPr>
      <t>(rood)</t>
    </r>
  </si>
  <si>
    <t xml:space="preserve">Terugverdientijd warmtepomp in jaren </t>
  </si>
  <si>
    <t xml:space="preserve">Vergelijking totale kosten over 15 jaar </t>
  </si>
  <si>
    <t>All electric ready  warmtepomp</t>
  </si>
  <si>
    <t xml:space="preserve">De informatie hieronder bevat  berekeningen en is niet relevant voor gebruikers van dit model </t>
  </si>
  <si>
    <r>
      <t>Resultaat van berekening</t>
    </r>
    <r>
      <rPr>
        <b/>
        <sz val="11"/>
        <color theme="8" tint="-0.249977111117893"/>
        <rFont val="Calibri"/>
        <family val="2"/>
        <scheme val="minor"/>
      </rPr>
      <t xml:space="preserve"> </t>
    </r>
    <r>
      <rPr>
        <b/>
        <sz val="12"/>
        <color theme="8" tint="-0.249977111117893"/>
        <rFont val="Calibri"/>
        <family val="2"/>
        <scheme val="minor"/>
      </rPr>
      <t>(blauw)</t>
    </r>
  </si>
  <si>
    <t>m3 (gasverbruik voor alleen verwarming)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</si>
</sst>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5" xfId="0" applyFill="1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/>
    <xf numFmtId="164" fontId="6" fillId="2" borderId="5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Protection="1">
      <protection locked="0"/>
    </xf>
    <xf numFmtId="0" fontId="0" fillId="0" borderId="0" xfId="0" applyAlignment="1"/>
    <xf numFmtId="0" fontId="0" fillId="2" borderId="0" xfId="0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10" xfId="0" applyFill="1" applyBorder="1"/>
    <xf numFmtId="0" fontId="0" fillId="2" borderId="9" xfId="0" applyFill="1" applyBorder="1" applyAlignment="1"/>
    <xf numFmtId="164" fontId="6" fillId="2" borderId="10" xfId="0" applyNumberFormat="1" applyFont="1" applyFill="1" applyBorder="1" applyAlignment="1"/>
    <xf numFmtId="165" fontId="6" fillId="2" borderId="10" xfId="0" applyNumberFormat="1" applyFont="1" applyFill="1" applyBorder="1" applyAlignment="1"/>
    <xf numFmtId="165" fontId="6" fillId="2" borderId="11" xfId="0" applyNumberFormat="1" applyFont="1" applyFill="1" applyBorder="1" applyAlignment="1"/>
    <xf numFmtId="164" fontId="6" fillId="2" borderId="10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0" fontId="0" fillId="2" borderId="11" xfId="0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9" xfId="0" applyFont="1" applyFill="1" applyBorder="1"/>
    <xf numFmtId="0" fontId="1" fillId="2" borderId="3" xfId="0" applyFont="1" applyFill="1" applyBorder="1" applyAlignment="1">
      <alignment horizontal="center"/>
    </xf>
    <xf numFmtId="164" fontId="6" fillId="2" borderId="11" xfId="0" applyNumberFormat="1" applyFont="1" applyFill="1" applyBorder="1" applyAlignment="1"/>
    <xf numFmtId="164" fontId="6" fillId="2" borderId="11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8" fillId="0" borderId="0" xfId="0" applyFont="1" applyProtection="1"/>
    <xf numFmtId="0" fontId="8" fillId="0" borderId="0" xfId="0" applyFont="1" applyAlignment="1" applyProtection="1"/>
    <xf numFmtId="0" fontId="0" fillId="0" borderId="0" xfId="0" applyProtection="1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/>
    <xf numFmtId="164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0" fillId="0" borderId="0" xfId="0" applyAlignment="1" applyProtection="1">
      <alignment horizontal="left"/>
    </xf>
    <xf numFmtId="0" fontId="0" fillId="2" borderId="4" xfId="0" applyFill="1" applyBorder="1" applyProtection="1"/>
    <xf numFmtId="0" fontId="0" fillId="0" borderId="0" xfId="0" applyAlignment="1" applyProtection="1">
      <alignment horizontal="right"/>
    </xf>
    <xf numFmtId="1" fontId="1" fillId="0" borderId="0" xfId="0" applyNumberFormat="1" applyFont="1" applyAlignment="1" applyProtection="1">
      <alignment horizontal="center"/>
    </xf>
    <xf numFmtId="0" fontId="4" fillId="2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0522-D41F-4E7B-ACAD-324027481505}">
  <dimension ref="A1:AB80"/>
  <sheetViews>
    <sheetView tabSelected="1" workbookViewId="0">
      <selection activeCell="C41" sqref="C41"/>
    </sheetView>
  </sheetViews>
  <sheetFormatPr defaultRowHeight="14.4" x14ac:dyDescent="0.3"/>
  <cols>
    <col min="1" max="1" width="43.109375" customWidth="1"/>
    <col min="2" max="2" width="19.21875" style="14" customWidth="1"/>
    <col min="3" max="3" width="26.88671875" customWidth="1"/>
    <col min="4" max="4" width="27.77734375" customWidth="1"/>
    <col min="5" max="5" width="24" customWidth="1"/>
    <col min="7" max="7" width="32.109375" customWidth="1"/>
    <col min="8" max="8" width="27.6640625" customWidth="1"/>
    <col min="9" max="9" width="18.6640625" customWidth="1"/>
    <col min="10" max="10" width="27.5546875" customWidth="1"/>
    <col min="11" max="11" width="23.109375" customWidth="1"/>
    <col min="12" max="12" width="7" customWidth="1"/>
    <col min="13" max="13" width="7.33203125" customWidth="1"/>
  </cols>
  <sheetData>
    <row r="1" spans="1:5" x14ac:dyDescent="0.3">
      <c r="A1" s="51" t="s">
        <v>47</v>
      </c>
      <c r="B1" s="52"/>
      <c r="C1" s="52"/>
      <c r="D1" s="52"/>
      <c r="E1" s="53"/>
    </row>
    <row r="2" spans="1:5" ht="9" customHeight="1" thickBot="1" x14ac:dyDescent="0.35">
      <c r="A2" s="54"/>
      <c r="B2" s="55"/>
      <c r="C2" s="55"/>
      <c r="D2" s="55"/>
      <c r="E2" s="56"/>
    </row>
    <row r="3" spans="1:5" x14ac:dyDescent="0.3">
      <c r="A3" s="4" t="s">
        <v>0</v>
      </c>
      <c r="B3" s="16">
        <v>1.25</v>
      </c>
      <c r="C3" s="12" t="s">
        <v>9</v>
      </c>
      <c r="D3" s="13"/>
      <c r="E3" s="6"/>
    </row>
    <row r="4" spans="1:5" x14ac:dyDescent="0.3">
      <c r="A4" s="4" t="s">
        <v>1</v>
      </c>
      <c r="B4" s="16">
        <v>0.25</v>
      </c>
      <c r="C4" s="12" t="s">
        <v>2</v>
      </c>
      <c r="D4" s="13"/>
      <c r="E4" s="6"/>
    </row>
    <row r="5" spans="1:5" x14ac:dyDescent="0.3">
      <c r="A5" s="4" t="s">
        <v>3</v>
      </c>
      <c r="B5" s="16">
        <v>9</v>
      </c>
      <c r="C5" s="12" t="s">
        <v>2</v>
      </c>
      <c r="D5" s="13"/>
      <c r="E5" s="6"/>
    </row>
    <row r="6" spans="1:5" x14ac:dyDescent="0.3">
      <c r="A6" s="4" t="s">
        <v>4</v>
      </c>
      <c r="B6" s="17">
        <f>B5/(B3/B4)</f>
        <v>1.8</v>
      </c>
      <c r="C6" s="12"/>
      <c r="D6" s="13"/>
      <c r="E6" s="6"/>
    </row>
    <row r="7" spans="1:5" x14ac:dyDescent="0.3">
      <c r="A7" s="4" t="s">
        <v>5</v>
      </c>
      <c r="B7" s="16">
        <v>4000</v>
      </c>
      <c r="C7" s="12" t="s">
        <v>21</v>
      </c>
      <c r="D7" s="13"/>
      <c r="E7" s="6"/>
    </row>
    <row r="8" spans="1:5" x14ac:dyDescent="0.3">
      <c r="A8" s="4" t="s">
        <v>6</v>
      </c>
      <c r="B8" s="16">
        <v>9000</v>
      </c>
      <c r="C8" s="12" t="s">
        <v>21</v>
      </c>
      <c r="D8" s="13"/>
      <c r="E8" s="6"/>
    </row>
    <row r="9" spans="1:5" x14ac:dyDescent="0.3">
      <c r="A9" s="4" t="s">
        <v>7</v>
      </c>
      <c r="B9" s="16">
        <v>12000</v>
      </c>
      <c r="C9" s="12" t="s">
        <v>21</v>
      </c>
      <c r="D9" s="13"/>
      <c r="E9" s="6"/>
    </row>
    <row r="10" spans="1:5" x14ac:dyDescent="0.3">
      <c r="A10" s="4" t="s">
        <v>28</v>
      </c>
      <c r="B10" s="16">
        <v>1200</v>
      </c>
      <c r="C10" s="12" t="s">
        <v>46</v>
      </c>
      <c r="D10" s="13"/>
      <c r="E10" s="6"/>
    </row>
    <row r="11" spans="1:5" x14ac:dyDescent="0.3">
      <c r="A11" s="4" t="s">
        <v>44</v>
      </c>
      <c r="B11" s="16">
        <v>200</v>
      </c>
      <c r="C11" s="11" t="s">
        <v>45</v>
      </c>
      <c r="D11" s="13"/>
      <c r="E11" s="6"/>
    </row>
    <row r="12" spans="1:5" x14ac:dyDescent="0.3">
      <c r="A12" s="4" t="s">
        <v>29</v>
      </c>
      <c r="B12" s="18">
        <f>B10-B11</f>
        <v>1000</v>
      </c>
      <c r="C12" s="12" t="s">
        <v>53</v>
      </c>
      <c r="D12" s="13"/>
      <c r="E12" s="6"/>
    </row>
    <row r="13" spans="1:5" x14ac:dyDescent="0.3">
      <c r="A13" s="4" t="s">
        <v>30</v>
      </c>
      <c r="B13" s="16">
        <v>0.7</v>
      </c>
      <c r="C13" s="12"/>
      <c r="D13" s="13"/>
      <c r="E13" s="6"/>
    </row>
    <row r="14" spans="1:5" x14ac:dyDescent="0.3">
      <c r="A14" s="4" t="s">
        <v>31</v>
      </c>
      <c r="B14" s="16">
        <v>200</v>
      </c>
      <c r="C14" s="12" t="s">
        <v>21</v>
      </c>
      <c r="D14" s="13"/>
      <c r="E14" s="6"/>
    </row>
    <row r="15" spans="1:5" x14ac:dyDescent="0.3">
      <c r="A15" s="4" t="s">
        <v>13</v>
      </c>
      <c r="B15" s="16">
        <v>200</v>
      </c>
      <c r="C15" s="12" t="s">
        <v>21</v>
      </c>
      <c r="D15" s="13"/>
      <c r="E15" s="6"/>
    </row>
    <row r="16" spans="1:5" x14ac:dyDescent="0.3">
      <c r="A16" s="4" t="s">
        <v>33</v>
      </c>
      <c r="B16" s="16">
        <v>360</v>
      </c>
      <c r="C16" s="12" t="s">
        <v>21</v>
      </c>
      <c r="D16" s="13"/>
      <c r="E16" s="6"/>
    </row>
    <row r="17" spans="1:28" x14ac:dyDescent="0.3">
      <c r="A17" s="4" t="s">
        <v>42</v>
      </c>
      <c r="B17" s="16">
        <v>2000</v>
      </c>
      <c r="C17" s="12" t="s">
        <v>21</v>
      </c>
      <c r="D17" s="13"/>
      <c r="E17" s="6"/>
    </row>
    <row r="18" spans="1:28" ht="15" thickBot="1" x14ac:dyDescent="0.35">
      <c r="A18" s="5"/>
      <c r="B18" s="15"/>
      <c r="C18" s="13"/>
      <c r="D18" s="13"/>
      <c r="E18" s="6"/>
    </row>
    <row r="19" spans="1:28" ht="26.4" thickBot="1" x14ac:dyDescent="0.55000000000000004">
      <c r="A19" s="51" t="s">
        <v>52</v>
      </c>
      <c r="B19" s="52"/>
      <c r="C19" s="52"/>
      <c r="D19" s="52"/>
      <c r="E19" s="53"/>
    </row>
    <row r="20" spans="1:28" x14ac:dyDescent="0.3">
      <c r="A20" s="31" t="s">
        <v>48</v>
      </c>
      <c r="B20" s="29" t="s">
        <v>8</v>
      </c>
      <c r="C20" s="29" t="s">
        <v>10</v>
      </c>
      <c r="D20" s="29" t="s">
        <v>50</v>
      </c>
      <c r="E20" s="32" t="s">
        <v>36</v>
      </c>
    </row>
    <row r="21" spans="1:28" x14ac:dyDescent="0.3">
      <c r="A21" s="19"/>
      <c r="B21" s="7">
        <v>6</v>
      </c>
      <c r="C21" s="21">
        <f>-$B$7/B41</f>
        <v>9.6969696969696972</v>
      </c>
      <c r="D21" s="24">
        <f>-$B$8/C41</f>
        <v>13.333333333333334</v>
      </c>
      <c r="E21" s="10">
        <f>-($B$9-$B$17)/D41</f>
        <v>7.0921985815602833</v>
      </c>
      <c r="AB21" s="2"/>
    </row>
    <row r="22" spans="1:28" x14ac:dyDescent="0.3">
      <c r="A22" s="19"/>
      <c r="B22" s="7">
        <v>5</v>
      </c>
      <c r="C22" s="21">
        <f>-$B$7/B42</f>
        <v>11.111111111111111</v>
      </c>
      <c r="D22" s="24">
        <f>-$B$8/C42</f>
        <v>15</v>
      </c>
      <c r="E22" s="10">
        <f>-($B$9-$B$17)/D42</f>
        <v>7.5757575757575761</v>
      </c>
      <c r="AB22" s="2"/>
    </row>
    <row r="23" spans="1:28" x14ac:dyDescent="0.3">
      <c r="A23" s="19"/>
      <c r="B23" s="7">
        <v>4</v>
      </c>
      <c r="C23" s="21">
        <f>-$B$7/B43</f>
        <v>14.222222222222221</v>
      </c>
      <c r="D23" s="24">
        <f>-$B$8/C43</f>
        <v>18.46153846153846</v>
      </c>
      <c r="E23" s="10">
        <f>-($B$9-$B$17)/D43</f>
        <v>8.4388185654008439</v>
      </c>
      <c r="AB23" s="2"/>
    </row>
    <row r="24" spans="1:28" ht="15" thickBot="1" x14ac:dyDescent="0.35">
      <c r="A24" s="27"/>
      <c r="B24" s="8">
        <v>3</v>
      </c>
      <c r="C24" s="33">
        <f>-$B$7/B44</f>
        <v>26.666666666666668</v>
      </c>
      <c r="D24" s="34">
        <f>-$B$8/C44</f>
        <v>30</v>
      </c>
      <c r="E24" s="35">
        <f>-($B$9-$B$17)/D44</f>
        <v>10.416666666666666</v>
      </c>
      <c r="AB24" s="2"/>
    </row>
    <row r="25" spans="1:28" x14ac:dyDescent="0.3">
      <c r="A25" s="28" t="s">
        <v>49</v>
      </c>
      <c r="B25" s="20"/>
      <c r="C25" s="29" t="s">
        <v>35</v>
      </c>
      <c r="D25" s="29" t="s">
        <v>36</v>
      </c>
      <c r="E25" s="30"/>
    </row>
    <row r="26" spans="1:28" x14ac:dyDescent="0.3">
      <c r="A26" s="19"/>
      <c r="B26" s="7">
        <v>6</v>
      </c>
      <c r="C26" s="22">
        <f>$B$17+($B$10*$B$3+$B$14+$B$16)*15</f>
        <v>32900</v>
      </c>
      <c r="D26" s="25">
        <f>+$B$9+(+$E$50*$B$4+$B$15)*15</f>
        <v>21750</v>
      </c>
      <c r="E26" s="6"/>
    </row>
    <row r="27" spans="1:28" x14ac:dyDescent="0.3">
      <c r="A27" s="19"/>
      <c r="B27" s="7">
        <v>5</v>
      </c>
      <c r="C27" s="22">
        <f>$B$17+($B$10*$B$3+$B$14+$B$16)*15</f>
        <v>32900</v>
      </c>
      <c r="D27" s="25">
        <f>+$B$9+(+$E$58*$B$4+$B$15)*15</f>
        <v>23100</v>
      </c>
      <c r="E27" s="6"/>
    </row>
    <row r="28" spans="1:28" x14ac:dyDescent="0.3">
      <c r="A28" s="19"/>
      <c r="B28" s="7">
        <v>4</v>
      </c>
      <c r="C28" s="22">
        <f>$B$17+($B$10*$B$3+$B$14+$B$16)*15</f>
        <v>32900</v>
      </c>
      <c r="D28" s="25">
        <f>+$B$9+(+$E$66*$B$4+$B$15)*15</f>
        <v>25125</v>
      </c>
      <c r="E28" s="6"/>
    </row>
    <row r="29" spans="1:28" ht="15" thickBot="1" x14ac:dyDescent="0.35">
      <c r="A29" s="27"/>
      <c r="B29" s="8">
        <v>3</v>
      </c>
      <c r="C29" s="23">
        <f>$B$17+($B$10*$B$3+$B$14+$B$16)*15</f>
        <v>32900</v>
      </c>
      <c r="D29" s="26">
        <f>+$B$9+(+$E$74*$B$4+$B$15)*15</f>
        <v>28500</v>
      </c>
      <c r="E29" s="9"/>
    </row>
    <row r="31" spans="1:28" x14ac:dyDescent="0.3">
      <c r="H31" s="3"/>
      <c r="I31" s="3"/>
      <c r="J31" s="3"/>
      <c r="K31" s="1"/>
    </row>
    <row r="33" spans="1:19" x14ac:dyDescent="0.3">
      <c r="A33" s="38"/>
      <c r="B33" s="39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9" x14ac:dyDescent="0.3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9" x14ac:dyDescent="0.3">
      <c r="A35" s="38"/>
      <c r="B35" s="39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9" x14ac:dyDescent="0.3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9" ht="25.8" x14ac:dyDescent="0.5">
      <c r="A37" s="36" t="s">
        <v>51</v>
      </c>
      <c r="B37" s="37"/>
      <c r="C37" s="36"/>
      <c r="D37" s="36"/>
      <c r="E37" s="36"/>
      <c r="F37" s="38"/>
      <c r="G37" s="38"/>
      <c r="H37" s="38"/>
      <c r="I37" s="38"/>
      <c r="J37" s="38"/>
      <c r="K37" s="38"/>
      <c r="L37" s="38"/>
      <c r="M37" s="38"/>
      <c r="N37" s="38"/>
    </row>
    <row r="38" spans="1:19" x14ac:dyDescent="0.3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9" x14ac:dyDescent="0.3">
      <c r="A39" s="38"/>
      <c r="B39" s="40" t="s">
        <v>32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9" x14ac:dyDescent="0.3">
      <c r="A40" s="41" t="s">
        <v>8</v>
      </c>
      <c r="B40" s="39" t="s">
        <v>10</v>
      </c>
      <c r="C40" s="38" t="s">
        <v>11</v>
      </c>
      <c r="D40" s="38" t="s">
        <v>12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</row>
    <row r="41" spans="1:19" x14ac:dyDescent="0.3">
      <c r="A41" s="41">
        <v>6</v>
      </c>
      <c r="B41" s="42">
        <f>C54</f>
        <v>-412.5</v>
      </c>
      <c r="C41" s="43">
        <f t="shared" ref="C41:D41" si="0">D54</f>
        <v>-675</v>
      </c>
      <c r="D41" s="43">
        <f t="shared" si="0"/>
        <v>-1410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9" x14ac:dyDescent="0.3">
      <c r="A42" s="41">
        <v>5</v>
      </c>
      <c r="B42" s="42">
        <f>C62</f>
        <v>-360</v>
      </c>
      <c r="C42" s="43">
        <f t="shared" ref="C42:D42" si="1">D62</f>
        <v>-600</v>
      </c>
      <c r="D42" s="43">
        <f t="shared" si="1"/>
        <v>-1320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9" x14ac:dyDescent="0.3">
      <c r="A43" s="41">
        <v>4</v>
      </c>
      <c r="B43" s="42">
        <f>C70</f>
        <v>-281.25</v>
      </c>
      <c r="C43" s="43">
        <f t="shared" ref="C43:D43" si="2">D70</f>
        <v>-487.5</v>
      </c>
      <c r="D43" s="43">
        <f t="shared" si="2"/>
        <v>-1185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P43" s="1"/>
      <c r="Q43" s="2"/>
      <c r="R43" s="2"/>
      <c r="S43" s="2"/>
    </row>
    <row r="44" spans="1:19" x14ac:dyDescent="0.3">
      <c r="A44" s="41">
        <v>3</v>
      </c>
      <c r="B44" s="42">
        <f>C78</f>
        <v>-150</v>
      </c>
      <c r="C44" s="43">
        <f t="shared" ref="C44:D44" si="3">D78</f>
        <v>-300</v>
      </c>
      <c r="D44" s="43">
        <f t="shared" si="3"/>
        <v>-960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P44" s="1"/>
      <c r="Q44" s="2"/>
      <c r="R44" s="2"/>
      <c r="S44" s="2"/>
    </row>
    <row r="45" spans="1:19" x14ac:dyDescent="0.3">
      <c r="A45" s="41"/>
      <c r="B45" s="42"/>
      <c r="C45" s="43"/>
      <c r="D45" s="43"/>
      <c r="E45" s="38"/>
      <c r="F45" s="38"/>
      <c r="G45" s="38"/>
      <c r="H45" s="38"/>
      <c r="I45" s="38"/>
      <c r="J45" s="38"/>
      <c r="K45" s="38"/>
      <c r="L45" s="38"/>
      <c r="M45" s="38"/>
      <c r="N45" s="38"/>
      <c r="P45" s="1"/>
      <c r="Q45" s="2"/>
      <c r="R45" s="2"/>
      <c r="S45" s="2"/>
    </row>
    <row r="46" spans="1:19" x14ac:dyDescent="0.3">
      <c r="A46" s="38"/>
      <c r="B46" s="39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9" x14ac:dyDescent="0.3">
      <c r="A47" s="41" t="s">
        <v>8</v>
      </c>
      <c r="B47" s="39"/>
      <c r="C47" s="38" t="s">
        <v>10</v>
      </c>
      <c r="D47" s="38" t="s">
        <v>11</v>
      </c>
      <c r="E47" s="38" t="s">
        <v>12</v>
      </c>
      <c r="F47" s="38"/>
      <c r="G47" s="38"/>
      <c r="H47" s="38"/>
      <c r="I47" s="38"/>
      <c r="J47" s="38"/>
      <c r="K47" s="38"/>
      <c r="L47" s="38"/>
      <c r="M47" s="38"/>
      <c r="N47" s="38"/>
    </row>
    <row r="48" spans="1:19" x14ac:dyDescent="0.3">
      <c r="A48" s="41">
        <v>6</v>
      </c>
      <c r="B48" s="39" t="s">
        <v>14</v>
      </c>
      <c r="C48" s="43">
        <f>$B$12*$B$13</f>
        <v>700</v>
      </c>
      <c r="D48" s="43">
        <f>$B$12</f>
        <v>1000</v>
      </c>
      <c r="E48" s="43">
        <f>$B$10</f>
        <v>1200</v>
      </c>
      <c r="F48" s="38"/>
      <c r="G48" s="38"/>
      <c r="H48" s="38"/>
      <c r="I48" s="38"/>
      <c r="J48" s="38"/>
      <c r="K48" s="38"/>
      <c r="L48" s="38"/>
      <c r="M48" s="38"/>
      <c r="N48" s="38"/>
    </row>
    <row r="49" spans="1:14" x14ac:dyDescent="0.3">
      <c r="A49" s="38"/>
      <c r="B49" s="39" t="s">
        <v>15</v>
      </c>
      <c r="C49" s="41">
        <f>-$C$48*$B$3</f>
        <v>-875</v>
      </c>
      <c r="D49" s="41">
        <f>-$D$48*$B$3</f>
        <v>-1250</v>
      </c>
      <c r="E49" s="41">
        <f>-$E$48*$B$3</f>
        <v>-1500</v>
      </c>
      <c r="F49" s="38"/>
      <c r="G49" s="38"/>
      <c r="H49" s="38"/>
      <c r="I49" s="38"/>
      <c r="J49" s="38"/>
      <c r="K49" s="38"/>
      <c r="L49" s="38"/>
      <c r="M49" s="38"/>
      <c r="N49" s="38"/>
    </row>
    <row r="50" spans="1:14" x14ac:dyDescent="0.3">
      <c r="A50" s="38"/>
      <c r="B50" s="39" t="s">
        <v>19</v>
      </c>
      <c r="C50" s="43">
        <f>($B$12*$B$13*$B$5)/$A$48</f>
        <v>1050</v>
      </c>
      <c r="D50" s="43">
        <f>($B$12*$B$5)/$A$48</f>
        <v>1500</v>
      </c>
      <c r="E50" s="43">
        <f>($B$10*$B$5)/$A$48</f>
        <v>1800</v>
      </c>
      <c r="F50" s="38"/>
      <c r="G50" s="41"/>
      <c r="H50" s="41" t="s">
        <v>34</v>
      </c>
      <c r="I50" s="41"/>
      <c r="J50" s="41"/>
      <c r="K50" s="41"/>
      <c r="L50" s="38"/>
      <c r="M50" s="38"/>
      <c r="N50" s="38"/>
    </row>
    <row r="51" spans="1:14" x14ac:dyDescent="0.3">
      <c r="A51" s="38"/>
      <c r="B51" s="39" t="s">
        <v>16</v>
      </c>
      <c r="C51" s="43">
        <f>$C$50*$B$4</f>
        <v>262.5</v>
      </c>
      <c r="D51" s="43">
        <f>$D$50*$B$4</f>
        <v>375</v>
      </c>
      <c r="E51" s="43">
        <f>$E$50*$B$4</f>
        <v>450</v>
      </c>
      <c r="F51" s="38"/>
      <c r="G51" s="41" t="s">
        <v>8</v>
      </c>
      <c r="H51" s="41" t="s">
        <v>35</v>
      </c>
      <c r="I51" s="41" t="s">
        <v>10</v>
      </c>
      <c r="J51" s="41" t="s">
        <v>11</v>
      </c>
      <c r="K51" s="41" t="s">
        <v>12</v>
      </c>
      <c r="L51" s="38"/>
      <c r="M51" s="38"/>
      <c r="N51" s="38"/>
    </row>
    <row r="52" spans="1:14" x14ac:dyDescent="0.3">
      <c r="A52" s="38"/>
      <c r="B52" s="39" t="s">
        <v>17</v>
      </c>
      <c r="C52" s="41">
        <f>$B$15</f>
        <v>200</v>
      </c>
      <c r="D52" s="41">
        <f>$B$15</f>
        <v>200</v>
      </c>
      <c r="E52" s="41">
        <f>$B$15-$B$14</f>
        <v>0</v>
      </c>
      <c r="F52" s="38"/>
      <c r="G52" s="41">
        <v>6</v>
      </c>
      <c r="H52" s="41">
        <f>$B$17+($B$10*$B$3+$B$14+$B$16)*15</f>
        <v>32900</v>
      </c>
      <c r="I52" s="44">
        <f>+$B$7+(($B$12*(1-$B$13)*$B$3+($B$10-$B$12)*$B$3+$C$50*$B$4)+$B$14+$B$15+$B$16)*15+B17</f>
        <v>30712.5</v>
      </c>
      <c r="J52" s="44">
        <f>+$B$8+($B$11*$B$3+$D$50*$B$4+$B$14+$B$15+$B$16)*15+B17</f>
        <v>31775</v>
      </c>
      <c r="K52" s="44">
        <f>+$B$9+(+$E$50*$B$4+$B$15)*15</f>
        <v>21750</v>
      </c>
      <c r="L52" s="38"/>
      <c r="M52" s="38"/>
      <c r="N52" s="38"/>
    </row>
    <row r="53" spans="1:14" x14ac:dyDescent="0.3">
      <c r="A53" s="38"/>
      <c r="B53" s="39" t="s">
        <v>18</v>
      </c>
      <c r="C53" s="41">
        <v>0</v>
      </c>
      <c r="D53" s="41">
        <v>0</v>
      </c>
      <c r="E53" s="41">
        <f>-$B$16</f>
        <v>-360</v>
      </c>
      <c r="F53" s="38"/>
      <c r="G53" s="41">
        <v>5</v>
      </c>
      <c r="H53" s="41">
        <f>$B$17+($B$10*$B$3+$B$14+$B$16)*15</f>
        <v>32900</v>
      </c>
      <c r="I53" s="44">
        <f>+$B$7+(($B$12*(1-$B$13)*$B$3+($B$10-$B$12)*$B$3+$C$58*$B$4)+$B$14+$B$15+$B$16)*15+B17</f>
        <v>31500</v>
      </c>
      <c r="J53" s="44">
        <f>+$B$8+($B$11*$B$3+$D$58*$B$4+$B$14+$B$15+$B$16)*15+B17</f>
        <v>32900</v>
      </c>
      <c r="K53" s="44">
        <f>+$B$9+(+$E$58*$B$4+$B$15)*15</f>
        <v>23100</v>
      </c>
      <c r="L53" s="38"/>
      <c r="M53" s="38"/>
      <c r="N53" s="38"/>
    </row>
    <row r="54" spans="1:14" x14ac:dyDescent="0.3">
      <c r="A54" s="38"/>
      <c r="B54" s="39" t="s">
        <v>20</v>
      </c>
      <c r="C54" s="45">
        <f>C49+C51+C52+C53</f>
        <v>-412.5</v>
      </c>
      <c r="D54" s="45">
        <f>D49+D51+D52+D53</f>
        <v>-675</v>
      </c>
      <c r="E54" s="45">
        <f>E49+E51+E52+E53</f>
        <v>-1410</v>
      </c>
      <c r="F54" s="38"/>
      <c r="G54" s="41">
        <v>4</v>
      </c>
      <c r="H54" s="41">
        <f>$B$17+($B$10*$B$3+$B$14+$B$16)*15</f>
        <v>32900</v>
      </c>
      <c r="I54" s="44">
        <f>+$B$7+(($B$12*(1-$B$13)*$B$3+($B$10-$B$12)*$B$3+$C$66*$B$4)+$B$14+$B$15+$B$16)*15+B17</f>
        <v>32681.25</v>
      </c>
      <c r="J54" s="44">
        <f>+$B$8+($B$11*$B$3+$D$66*$B$4+$B$14+$B$15+$B$16)*15+B17</f>
        <v>34587.5</v>
      </c>
      <c r="K54" s="44">
        <f>+$B$9+(+$E$66*$B$4+$B$15)*15</f>
        <v>25125</v>
      </c>
      <c r="L54" s="38"/>
      <c r="M54" s="38"/>
      <c r="N54" s="38"/>
    </row>
    <row r="55" spans="1:14" x14ac:dyDescent="0.3">
      <c r="A55" s="38"/>
      <c r="B55" s="39"/>
      <c r="C55" s="38"/>
      <c r="D55" s="38"/>
      <c r="E55" s="38"/>
      <c r="F55" s="38"/>
      <c r="G55" s="41">
        <v>3</v>
      </c>
      <c r="H55" s="41">
        <f>$B$17+($B$10*$B$3+$B$14+$B$16)*15</f>
        <v>32900</v>
      </c>
      <c r="I55" s="44">
        <f>+$B$7+(($B$12*(1-$B$13)*$B$3+($B$10-$B$12)*$B$3+$C$74*$B$4)+$B$14+$B$15+$B$16)*15+B17</f>
        <v>34650</v>
      </c>
      <c r="J55" s="44">
        <f>+$B$8+($B$11*$B$3+$D$74*$B$4+$B$14+$B$15+$B$16)*15+B17</f>
        <v>37400</v>
      </c>
      <c r="K55" s="44">
        <f>+$B$9+(+$E$74*$B$4+$B$15)*15</f>
        <v>28500</v>
      </c>
      <c r="L55" s="38"/>
      <c r="M55" s="38"/>
      <c r="N55" s="38"/>
    </row>
    <row r="56" spans="1:14" x14ac:dyDescent="0.3">
      <c r="A56" s="41">
        <v>5</v>
      </c>
      <c r="B56" s="39" t="s">
        <v>14</v>
      </c>
      <c r="C56" s="43">
        <f>$B$12*$B$13</f>
        <v>700</v>
      </c>
      <c r="D56" s="43">
        <f>$B$12</f>
        <v>1000</v>
      </c>
      <c r="E56" s="43">
        <f>$B$10</f>
        <v>1200</v>
      </c>
      <c r="F56" s="38"/>
      <c r="G56" s="38"/>
      <c r="H56" s="38"/>
      <c r="I56" s="38"/>
      <c r="J56" s="38"/>
      <c r="K56" s="38"/>
      <c r="L56" s="38"/>
      <c r="M56" s="38"/>
      <c r="N56" s="38"/>
    </row>
    <row r="57" spans="1:14" x14ac:dyDescent="0.3">
      <c r="A57" s="38"/>
      <c r="B57" s="39" t="s">
        <v>15</v>
      </c>
      <c r="C57" s="41">
        <f>-$C$48*$B$3</f>
        <v>-875</v>
      </c>
      <c r="D57" s="41">
        <f>-$D$48*$B$3</f>
        <v>-1250</v>
      </c>
      <c r="E57" s="41">
        <f>-$E$48*$B$3</f>
        <v>-1500</v>
      </c>
      <c r="F57" s="38"/>
      <c r="G57" s="46" t="s">
        <v>40</v>
      </c>
      <c r="H57" s="38"/>
      <c r="I57" s="38"/>
      <c r="J57" s="38"/>
      <c r="K57" s="38"/>
      <c r="L57" s="38"/>
      <c r="M57" s="38"/>
      <c r="N57" s="38"/>
    </row>
    <row r="58" spans="1:14" x14ac:dyDescent="0.3">
      <c r="A58" s="38"/>
      <c r="B58" s="39" t="s">
        <v>19</v>
      </c>
      <c r="C58" s="43">
        <f>($B$12*$B$13*$B$5)/$A$56</f>
        <v>1260</v>
      </c>
      <c r="D58" s="43">
        <f>($B$12*$B$5)/$A$56</f>
        <v>1800</v>
      </c>
      <c r="E58" s="43">
        <f>($B$10*$B$5)/$A$56</f>
        <v>2160</v>
      </c>
      <c r="F58" s="38"/>
      <c r="G58" s="38" t="s">
        <v>42</v>
      </c>
      <c r="H58" s="41">
        <f>B17</f>
        <v>2000</v>
      </c>
      <c r="I58" s="41">
        <f>B17</f>
        <v>2000</v>
      </c>
      <c r="J58" s="41">
        <f>B17</f>
        <v>2000</v>
      </c>
      <c r="K58" s="41">
        <v>0</v>
      </c>
      <c r="L58" s="38"/>
      <c r="M58" s="38"/>
      <c r="N58" s="38"/>
    </row>
    <row r="59" spans="1:14" x14ac:dyDescent="0.3">
      <c r="A59" s="38"/>
      <c r="B59" s="39" t="s">
        <v>16</v>
      </c>
      <c r="C59" s="43">
        <f>$C$58*$B$4</f>
        <v>315</v>
      </c>
      <c r="D59" s="43">
        <f>$D$58*$B$4</f>
        <v>450</v>
      </c>
      <c r="E59" s="43">
        <f>$E$58*$B$4</f>
        <v>540</v>
      </c>
      <c r="F59" s="38"/>
      <c r="G59" s="47" t="s">
        <v>41</v>
      </c>
      <c r="H59" s="41"/>
      <c r="I59" s="44">
        <f>B7</f>
        <v>4000</v>
      </c>
      <c r="J59" s="44">
        <f>B8</f>
        <v>9000</v>
      </c>
      <c r="K59" s="41">
        <f>B9</f>
        <v>12000</v>
      </c>
      <c r="L59" s="38"/>
      <c r="M59" s="38"/>
      <c r="N59" s="38"/>
    </row>
    <row r="60" spans="1:14" x14ac:dyDescent="0.3">
      <c r="A60" s="38"/>
      <c r="B60" s="39" t="s">
        <v>17</v>
      </c>
      <c r="C60" s="41">
        <f>$B$15</f>
        <v>200</v>
      </c>
      <c r="D60" s="41">
        <f>$B$15</f>
        <v>200</v>
      </c>
      <c r="E60" s="41">
        <f>$B$15-$B$14</f>
        <v>0</v>
      </c>
      <c r="F60" s="38"/>
      <c r="G60" s="38" t="s">
        <v>37</v>
      </c>
      <c r="H60" s="41">
        <f>B10*B3*15</f>
        <v>22500</v>
      </c>
      <c r="I60" s="44">
        <f>((B11*B3)+(1-B13)*B12*B3)*15</f>
        <v>9375</v>
      </c>
      <c r="J60" s="44">
        <f>B11*B3*15</f>
        <v>3750</v>
      </c>
      <c r="K60" s="41">
        <v>0</v>
      </c>
      <c r="L60" s="38"/>
      <c r="M60" s="38"/>
      <c r="N60" s="38"/>
    </row>
    <row r="61" spans="1:14" x14ac:dyDescent="0.3">
      <c r="A61" s="38"/>
      <c r="B61" s="39" t="s">
        <v>18</v>
      </c>
      <c r="C61" s="41">
        <v>0</v>
      </c>
      <c r="D61" s="41">
        <v>0</v>
      </c>
      <c r="E61" s="41">
        <f>-$B$16</f>
        <v>-360</v>
      </c>
      <c r="F61" s="38"/>
      <c r="G61" s="38" t="s">
        <v>38</v>
      </c>
      <c r="H61" s="41"/>
      <c r="I61" s="44">
        <f>(C66*B4)*15</f>
        <v>5906.25</v>
      </c>
      <c r="J61" s="44">
        <f>D66*B4*15</f>
        <v>8437.5</v>
      </c>
      <c r="K61" s="41">
        <f>E66*B4*15</f>
        <v>10125</v>
      </c>
      <c r="L61" s="38"/>
      <c r="M61" s="38"/>
      <c r="N61" s="38"/>
    </row>
    <row r="62" spans="1:14" x14ac:dyDescent="0.3">
      <c r="A62" s="38"/>
      <c r="B62" s="39" t="s">
        <v>20</v>
      </c>
      <c r="C62" s="45">
        <f>C57+C59+C60+C61</f>
        <v>-360</v>
      </c>
      <c r="D62" s="45">
        <f>D57+D59+D60+D61</f>
        <v>-600</v>
      </c>
      <c r="E62" s="45">
        <f>E57+E59+E60+E61</f>
        <v>-1320</v>
      </c>
      <c r="F62" s="38"/>
      <c r="G62" s="38" t="s">
        <v>31</v>
      </c>
      <c r="H62" s="44">
        <f>B14*15</f>
        <v>3000</v>
      </c>
      <c r="I62" s="44">
        <f>B14*15</f>
        <v>3000</v>
      </c>
      <c r="J62" s="44">
        <f>B14*15</f>
        <v>3000</v>
      </c>
      <c r="K62" s="41">
        <v>0</v>
      </c>
      <c r="L62" s="38"/>
      <c r="M62" s="38"/>
      <c r="N62" s="38"/>
    </row>
    <row r="63" spans="1:14" x14ac:dyDescent="0.3">
      <c r="A63" s="38"/>
      <c r="B63" s="39"/>
      <c r="C63" s="38"/>
      <c r="D63" s="38"/>
      <c r="E63" s="38"/>
      <c r="F63" s="38"/>
      <c r="G63" s="38" t="s">
        <v>39</v>
      </c>
      <c r="H63" s="44"/>
      <c r="I63" s="44">
        <f>B15*15</f>
        <v>3000</v>
      </c>
      <c r="J63" s="44">
        <f>B15*15</f>
        <v>3000</v>
      </c>
      <c r="K63" s="44">
        <f>B15*15</f>
        <v>3000</v>
      </c>
      <c r="L63" s="38"/>
      <c r="M63" s="38"/>
      <c r="N63" s="38"/>
    </row>
    <row r="64" spans="1:14" x14ac:dyDescent="0.3">
      <c r="A64" s="41">
        <v>4</v>
      </c>
      <c r="B64" s="39" t="s">
        <v>14</v>
      </c>
      <c r="C64" s="43">
        <f>$B$12*$B$13</f>
        <v>700</v>
      </c>
      <c r="D64" s="43">
        <f>$B$12</f>
        <v>1000</v>
      </c>
      <c r="E64" s="43">
        <f>$B$10</f>
        <v>1200</v>
      </c>
      <c r="F64" s="38"/>
      <c r="G64" s="48" t="s">
        <v>33</v>
      </c>
      <c r="H64" s="41">
        <f>15*$B$16</f>
        <v>5400</v>
      </c>
      <c r="I64" s="41">
        <f t="shared" ref="I64:K64" si="4">15*$B$16</f>
        <v>5400</v>
      </c>
      <c r="J64" s="41">
        <f t="shared" si="4"/>
        <v>5400</v>
      </c>
      <c r="K64" s="41">
        <f t="shared" si="4"/>
        <v>5400</v>
      </c>
      <c r="L64" s="38"/>
      <c r="M64" s="38"/>
      <c r="N64" s="38"/>
    </row>
    <row r="65" spans="1:14" x14ac:dyDescent="0.3">
      <c r="A65" s="38"/>
      <c r="B65" s="39" t="s">
        <v>15</v>
      </c>
      <c r="C65" s="41">
        <f>-$C$48*$B$3</f>
        <v>-875</v>
      </c>
      <c r="D65" s="41">
        <f>-$D$48*$B$3</f>
        <v>-1250</v>
      </c>
      <c r="E65" s="41">
        <f>-$E$48*$B$3</f>
        <v>-1500</v>
      </c>
      <c r="F65" s="38"/>
      <c r="G65" s="49" t="s">
        <v>43</v>
      </c>
      <c r="H65" s="50">
        <f>SUM(H58:H64)</f>
        <v>32900</v>
      </c>
      <c r="I65" s="50">
        <f t="shared" ref="I65:K65" si="5">SUM(I58:I64)</f>
        <v>32681.25</v>
      </c>
      <c r="J65" s="50">
        <f t="shared" si="5"/>
        <v>34587.5</v>
      </c>
      <c r="K65" s="50">
        <f t="shared" si="5"/>
        <v>30525</v>
      </c>
      <c r="L65" s="38"/>
      <c r="M65" s="38"/>
      <c r="N65" s="38"/>
    </row>
    <row r="66" spans="1:14" x14ac:dyDescent="0.3">
      <c r="A66" s="38"/>
      <c r="B66" s="39" t="s">
        <v>19</v>
      </c>
      <c r="C66" s="43">
        <f>($B$12*$B$13*$B$5)/$A$64</f>
        <v>1575</v>
      </c>
      <c r="D66" s="43">
        <f>($B$12*$B$5)/$A$64</f>
        <v>2250</v>
      </c>
      <c r="E66" s="43">
        <f>($B$10*$B$5)/$A$64</f>
        <v>2700</v>
      </c>
      <c r="F66" s="38"/>
      <c r="G66" s="38"/>
      <c r="H66" s="38"/>
      <c r="I66" s="38"/>
      <c r="J66" s="38"/>
      <c r="K66" s="38"/>
      <c r="L66" s="38"/>
      <c r="M66" s="38"/>
      <c r="N66" s="38"/>
    </row>
    <row r="67" spans="1:14" x14ac:dyDescent="0.3">
      <c r="A67" s="41"/>
      <c r="B67" s="39" t="s">
        <v>16</v>
      </c>
      <c r="C67" s="43">
        <f>$C$66*$B$4</f>
        <v>393.75</v>
      </c>
      <c r="D67" s="43">
        <f>$D$66*$B$4</f>
        <v>562.5</v>
      </c>
      <c r="E67" s="43">
        <f>$E$66*$B$4</f>
        <v>675</v>
      </c>
      <c r="F67" s="38"/>
      <c r="G67" s="38"/>
      <c r="H67" s="38"/>
      <c r="I67" s="38"/>
      <c r="J67" s="38"/>
      <c r="K67" s="38"/>
      <c r="L67" s="38"/>
      <c r="M67" s="38"/>
      <c r="N67" s="38"/>
    </row>
    <row r="68" spans="1:14" x14ac:dyDescent="0.3">
      <c r="A68" s="41"/>
      <c r="B68" s="39" t="s">
        <v>17</v>
      </c>
      <c r="C68" s="41">
        <f>$B$15</f>
        <v>200</v>
      </c>
      <c r="D68" s="41">
        <f>$B$15</f>
        <v>200</v>
      </c>
      <c r="E68" s="41">
        <f>$B$15-$B$14</f>
        <v>0</v>
      </c>
      <c r="F68" s="38"/>
      <c r="G68" s="38"/>
      <c r="H68" s="38" t="s">
        <v>22</v>
      </c>
      <c r="I68" s="38" t="s">
        <v>0</v>
      </c>
      <c r="J68" s="38" t="s">
        <v>24</v>
      </c>
      <c r="K68" s="38" t="s">
        <v>25</v>
      </c>
      <c r="L68" s="38" t="s">
        <v>8</v>
      </c>
      <c r="M68" s="38" t="s">
        <v>26</v>
      </c>
      <c r="N68" s="38"/>
    </row>
    <row r="69" spans="1:14" x14ac:dyDescent="0.3">
      <c r="A69" s="41"/>
      <c r="B69" s="39" t="s">
        <v>18</v>
      </c>
      <c r="C69" s="41">
        <v>0</v>
      </c>
      <c r="D69" s="41">
        <v>0</v>
      </c>
      <c r="E69" s="41">
        <f>-$B$16</f>
        <v>-360</v>
      </c>
      <c r="F69" s="38"/>
      <c r="G69" s="38"/>
      <c r="H69" s="38"/>
      <c r="I69" s="38"/>
      <c r="J69" s="38"/>
      <c r="K69" s="38"/>
      <c r="L69" s="38"/>
      <c r="M69" s="38"/>
      <c r="N69" s="38"/>
    </row>
    <row r="70" spans="1:14" x14ac:dyDescent="0.3">
      <c r="A70" s="41"/>
      <c r="B70" s="39" t="s">
        <v>20</v>
      </c>
      <c r="C70" s="45">
        <f>C65+C67+C68+C69</f>
        <v>-281.25</v>
      </c>
      <c r="D70" s="45">
        <f>D65+D67+D68+D69</f>
        <v>-487.5</v>
      </c>
      <c r="E70" s="45">
        <f>E65+E67+E68+E69</f>
        <v>-1185</v>
      </c>
      <c r="F70" s="38"/>
      <c r="G70" s="38" t="s">
        <v>23</v>
      </c>
      <c r="H70" s="41">
        <v>4000</v>
      </c>
      <c r="I70" s="38">
        <v>1.25</v>
      </c>
      <c r="J70" s="38">
        <v>0.25</v>
      </c>
      <c r="K70" s="38"/>
      <c r="L70" s="38"/>
      <c r="M70" s="38"/>
      <c r="N70" s="38"/>
    </row>
    <row r="71" spans="1:14" x14ac:dyDescent="0.3">
      <c r="A71" s="41"/>
      <c r="B71" s="39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x14ac:dyDescent="0.3">
      <c r="A72" s="41">
        <v>3</v>
      </c>
      <c r="B72" s="39" t="s">
        <v>14</v>
      </c>
      <c r="C72" s="43">
        <f>$B$12*$B$13</f>
        <v>700</v>
      </c>
      <c r="D72" s="43">
        <f>$B$12</f>
        <v>1000</v>
      </c>
      <c r="E72" s="43">
        <f>$B$10</f>
        <v>1200</v>
      </c>
      <c r="F72" s="38"/>
      <c r="G72" s="46" t="s">
        <v>10</v>
      </c>
      <c r="H72" s="38"/>
      <c r="I72" s="41"/>
      <c r="J72" s="38" t="s">
        <v>27</v>
      </c>
      <c r="K72" s="38"/>
      <c r="L72" s="38"/>
      <c r="M72" s="38"/>
      <c r="N72" s="38"/>
    </row>
    <row r="73" spans="1:14" x14ac:dyDescent="0.3">
      <c r="A73" s="41"/>
      <c r="B73" s="39" t="s">
        <v>15</v>
      </c>
      <c r="C73" s="41">
        <f>-$C$48*$B$3</f>
        <v>-875</v>
      </c>
      <c r="D73" s="41">
        <f>-$D$48*$B$3</f>
        <v>-1250</v>
      </c>
      <c r="E73" s="41">
        <f>-$E$48*$B$3</f>
        <v>-1500</v>
      </c>
      <c r="F73" s="38"/>
      <c r="G73" s="38" t="s">
        <v>22</v>
      </c>
      <c r="H73" s="41">
        <v>4000</v>
      </c>
      <c r="I73" s="41"/>
      <c r="J73" s="41"/>
      <c r="K73" s="41"/>
      <c r="L73" s="38"/>
      <c r="M73" s="38"/>
      <c r="N73" s="38"/>
    </row>
    <row r="74" spans="1:14" x14ac:dyDescent="0.3">
      <c r="A74" s="41"/>
      <c r="B74" s="39" t="s">
        <v>19</v>
      </c>
      <c r="C74" s="43">
        <f>($B$12*$B$13*$B$5)/$A$72</f>
        <v>2100</v>
      </c>
      <c r="D74" s="43">
        <f>($B$12*$B$5)/$A$72</f>
        <v>3000</v>
      </c>
      <c r="E74" s="43">
        <f>($B$10*$B$5)/$A$72</f>
        <v>3600</v>
      </c>
      <c r="F74" s="38"/>
      <c r="G74" s="38" t="s">
        <v>1</v>
      </c>
      <c r="H74" s="41">
        <v>0.25</v>
      </c>
      <c r="I74" s="41" t="s">
        <v>2</v>
      </c>
      <c r="J74" s="41"/>
      <c r="K74" s="41"/>
      <c r="L74" s="38"/>
      <c r="M74" s="38"/>
      <c r="N74" s="38"/>
    </row>
    <row r="75" spans="1:14" x14ac:dyDescent="0.3">
      <c r="A75" s="41"/>
      <c r="B75" s="39" t="s">
        <v>16</v>
      </c>
      <c r="C75" s="43">
        <f>$C$74*$B$4</f>
        <v>525</v>
      </c>
      <c r="D75" s="43">
        <f>$D$74*$B$4</f>
        <v>750</v>
      </c>
      <c r="E75" s="43">
        <f>$E$74*$B$4</f>
        <v>900</v>
      </c>
      <c r="F75" s="38"/>
      <c r="G75" s="38" t="s">
        <v>25</v>
      </c>
      <c r="H75" s="41">
        <v>1000</v>
      </c>
      <c r="I75" s="41" t="s">
        <v>9</v>
      </c>
      <c r="J75" s="41">
        <v>-700</v>
      </c>
      <c r="K75" s="41" t="s">
        <v>9</v>
      </c>
      <c r="L75" s="38"/>
      <c r="M75" s="38"/>
      <c r="N75" s="38"/>
    </row>
    <row r="76" spans="1:14" x14ac:dyDescent="0.3">
      <c r="A76" s="41"/>
      <c r="B76" s="39" t="s">
        <v>17</v>
      </c>
      <c r="C76" s="41">
        <f>$B$15</f>
        <v>200</v>
      </c>
      <c r="D76" s="41">
        <f>$B$15</f>
        <v>200</v>
      </c>
      <c r="E76" s="41">
        <f>$B$15-$B$14</f>
        <v>0</v>
      </c>
      <c r="F76" s="38"/>
      <c r="G76" s="38"/>
      <c r="H76" s="38"/>
      <c r="I76" s="38"/>
      <c r="J76" s="41"/>
      <c r="K76" s="43"/>
      <c r="L76" s="43"/>
      <c r="M76" s="43"/>
      <c r="N76" s="38"/>
    </row>
    <row r="77" spans="1:14" x14ac:dyDescent="0.3">
      <c r="A77" s="41"/>
      <c r="B77" s="39" t="s">
        <v>18</v>
      </c>
      <c r="C77" s="41">
        <v>0</v>
      </c>
      <c r="D77" s="41">
        <v>0</v>
      </c>
      <c r="E77" s="41">
        <f>-$B$16</f>
        <v>-360</v>
      </c>
      <c r="F77" s="38"/>
      <c r="G77" s="38" t="s">
        <v>8</v>
      </c>
      <c r="H77" s="38" t="s">
        <v>26</v>
      </c>
      <c r="I77" s="38"/>
      <c r="J77" s="38"/>
      <c r="K77" s="43"/>
      <c r="L77" s="43"/>
      <c r="M77" s="43"/>
      <c r="N77" s="43"/>
    </row>
    <row r="78" spans="1:14" x14ac:dyDescent="0.3">
      <c r="A78" s="41"/>
      <c r="B78" s="39" t="s">
        <v>20</v>
      </c>
      <c r="C78" s="45">
        <f>C73+C75+C76+C77</f>
        <v>-150</v>
      </c>
      <c r="D78" s="45">
        <f>D73+D75+D76+D77</f>
        <v>-300</v>
      </c>
      <c r="E78" s="45">
        <f>E73+E75+E76+E77</f>
        <v>-960</v>
      </c>
      <c r="F78" s="38"/>
      <c r="G78" s="41">
        <v>6</v>
      </c>
      <c r="H78" s="43">
        <v>9.2307692307692317</v>
      </c>
      <c r="I78" s="38"/>
      <c r="J78" s="41"/>
      <c r="K78" s="43"/>
      <c r="L78" s="43"/>
      <c r="M78" s="43"/>
      <c r="N78" s="43"/>
    </row>
    <row r="79" spans="1:14" x14ac:dyDescent="0.3">
      <c r="A79" s="38"/>
      <c r="B79" s="39"/>
      <c r="C79" s="38"/>
      <c r="D79" s="38"/>
      <c r="E79" s="38"/>
      <c r="F79" s="38"/>
      <c r="G79" s="41">
        <v>5</v>
      </c>
      <c r="H79" s="43">
        <v>10.666666666666666</v>
      </c>
      <c r="I79" s="38"/>
      <c r="J79" s="41"/>
      <c r="K79" s="43"/>
      <c r="L79" s="43"/>
      <c r="M79" s="43"/>
      <c r="N79" s="43"/>
    </row>
    <row r="80" spans="1:14" x14ac:dyDescent="0.3">
      <c r="A80" s="38"/>
      <c r="B80" s="39"/>
      <c r="C80" s="38"/>
      <c r="D80" s="38"/>
      <c r="E80" s="38"/>
      <c r="F80" s="38"/>
      <c r="G80" s="41">
        <v>4</v>
      </c>
      <c r="H80" s="43">
        <v>13.913043478260869</v>
      </c>
      <c r="I80" s="38"/>
      <c r="J80" s="41"/>
      <c r="K80" s="43"/>
      <c r="L80" s="43"/>
      <c r="M80" s="43"/>
      <c r="N80" s="43"/>
    </row>
  </sheetData>
  <sheetProtection algorithmName="SHA-512" hashValue="jBaUwiZb/SPELXWHQIlsRbi7VyZYE8pf9WlbPjAuGPhHGz54x3Zdrapr6pCWO2lof9/hqh/SHuXFfOoBT3z9Kg==" saltValue="1LQJTG91kFxCftqU8uWzKg==" spinCount="100000" sheet="1" objects="1" scenarios="1"/>
  <mergeCells count="2">
    <mergeCell ref="A19:E19"/>
    <mergeCell ref="A1:E2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Koning</dc:creator>
  <cp:lastModifiedBy>Jan de Mos</cp:lastModifiedBy>
  <dcterms:created xsi:type="dcterms:W3CDTF">2025-08-27T11:26:34Z</dcterms:created>
  <dcterms:modified xsi:type="dcterms:W3CDTF">2025-11-14T15:02:59Z</dcterms:modified>
</cp:coreProperties>
</file>