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Koning\Desktop\"/>
    </mc:Choice>
  </mc:AlternateContent>
  <xr:revisionPtr revIDLastSave="0" documentId="13_ncr:1_{087A8496-FF57-41D6-B2B6-9B78C939B72C}" xr6:coauthVersionLast="47" xr6:coauthVersionMax="47" xr10:uidLastSave="{00000000-0000-0000-0000-000000000000}"/>
  <bookViews>
    <workbookView xWindow="2480" yWindow="630" windowWidth="33000" windowHeight="20850" xr2:uid="{AE198F18-32D1-4103-812E-A9C7067D0195}"/>
  </bookViews>
  <sheets>
    <sheet name="Blad1" sheetId="1" r:id="rId1"/>
    <sheet name="Blad5" sheetId="5" r:id="rId2"/>
    <sheet name="Blad3" sheetId="3" r:id="rId3"/>
    <sheet name="Blad2" sheetId="2" r:id="rId4"/>
    <sheet name="Blad4" sheetId="4"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76" i="1" l="1"/>
  <c r="T68" i="1"/>
  <c r="U68" i="1"/>
  <c r="V68" i="1"/>
  <c r="W68" i="1"/>
  <c r="X68" i="1"/>
  <c r="Y68" i="1"/>
  <c r="Z68" i="1"/>
  <c r="AA68" i="1"/>
  <c r="AB68" i="1"/>
  <c r="AC68" i="1"/>
  <c r="L44" i="1"/>
  <c r="L45" i="1" s="1"/>
  <c r="L46" i="1" s="1"/>
  <c r="L47" i="1" s="1"/>
  <c r="L48" i="1" s="1"/>
  <c r="L49" i="1" s="1"/>
  <c r="L50" i="1" s="1"/>
  <c r="L51" i="1" s="1"/>
  <c r="L52" i="1" s="1"/>
  <c r="L53" i="1" s="1"/>
  <c r="L54" i="1" s="1"/>
  <c r="L55" i="1" s="1"/>
  <c r="L56" i="1" s="1"/>
  <c r="L57" i="1" s="1"/>
  <c r="L58" i="1" s="1"/>
  <c r="L59" i="1" s="1"/>
  <c r="L60" i="1" s="1"/>
  <c r="L61" i="1" s="1"/>
  <c r="L62" i="1" s="1"/>
  <c r="L63" i="1" s="1"/>
  <c r="L68" i="1"/>
  <c r="E28" i="1" l="1"/>
  <c r="E31" i="1"/>
  <c r="E32" i="1"/>
  <c r="B44" i="1"/>
  <c r="O68" i="1"/>
  <c r="P68" i="1"/>
  <c r="Q68" i="1"/>
  <c r="R68" i="1"/>
  <c r="S68" i="1"/>
  <c r="F68" i="1"/>
  <c r="G68" i="1"/>
  <c r="H68" i="1"/>
  <c r="I68" i="1"/>
  <c r="J68" i="1"/>
  <c r="K68" i="1"/>
  <c r="M68" i="1"/>
  <c r="N68" i="1"/>
  <c r="E68" i="1"/>
  <c r="F66" i="1"/>
  <c r="G66" i="1" s="1"/>
  <c r="H66" i="1" s="1"/>
  <c r="I66" i="1" s="1"/>
  <c r="J66" i="1" s="1"/>
  <c r="K66" i="1" s="1"/>
  <c r="L66" i="1" s="1"/>
  <c r="M66" i="1" s="1"/>
  <c r="N66" i="1" s="1"/>
  <c r="O66" i="1" s="1"/>
  <c r="P66" i="1" s="1"/>
  <c r="Q66" i="1" s="1"/>
  <c r="R66" i="1" s="1"/>
  <c r="S66" i="1" s="1"/>
  <c r="T66" i="1" s="1"/>
  <c r="U66" i="1" s="1"/>
  <c r="V66" i="1" s="1"/>
  <c r="W66" i="1" s="1"/>
  <c r="X66" i="1" s="1"/>
  <c r="Y66" i="1" s="1"/>
  <c r="Z66" i="1" s="1"/>
  <c r="AA66" i="1" s="1"/>
  <c r="AB66" i="1" s="1"/>
  <c r="AC66" i="1" s="1"/>
  <c r="T73" i="1" l="1"/>
  <c r="X73" i="1"/>
  <c r="AB73" i="1"/>
  <c r="U73" i="1"/>
  <c r="Y73" i="1"/>
  <c r="AC73" i="1"/>
  <c r="V73" i="1"/>
  <c r="Z73" i="1"/>
  <c r="W73" i="1"/>
  <c r="AA73" i="1"/>
  <c r="B45" i="1"/>
  <c r="B46" i="1" s="1"/>
  <c r="B47" i="1" s="1"/>
  <c r="B48" i="1" l="1"/>
  <c r="B49" i="1" l="1"/>
  <c r="B50" i="1" l="1"/>
  <c r="B51" i="1" l="1"/>
  <c r="B52" i="1" l="1"/>
  <c r="B53" i="1" l="1"/>
  <c r="B54" i="1" s="1"/>
  <c r="B55" i="1" s="1"/>
  <c r="B56" i="1" s="1"/>
  <c r="B57" i="1" s="1"/>
  <c r="B58" i="1" s="1"/>
  <c r="B59" i="1" s="1"/>
  <c r="B60" i="1" s="1"/>
  <c r="B61" i="1" s="1"/>
  <c r="B62" i="1" s="1"/>
  <c r="B63" i="1" s="1"/>
  <c r="E30" i="1"/>
  <c r="M73" i="1"/>
  <c r="F73" i="1"/>
  <c r="L73" i="1"/>
  <c r="O73" i="1"/>
  <c r="H73" i="1"/>
  <c r="J73" i="1"/>
  <c r="E73" i="1"/>
  <c r="S73" i="1"/>
  <c r="N73" i="1"/>
  <c r="G73" i="1"/>
  <c r="P73" i="1"/>
  <c r="I73" i="1"/>
  <c r="K73" i="1"/>
  <c r="R73" i="1"/>
  <c r="Q73" i="1"/>
  <c r="E29" i="1"/>
  <c r="T72" i="1" l="1"/>
  <c r="W72" i="1"/>
  <c r="U72" i="1"/>
  <c r="Z72" i="1"/>
  <c r="X72" i="1"/>
  <c r="Y72" i="1"/>
  <c r="AA72" i="1"/>
  <c r="AC72" i="1"/>
  <c r="V72" i="1"/>
  <c r="AB72" i="1"/>
  <c r="M71" i="1"/>
  <c r="M72" i="1" s="1"/>
  <c r="M74" i="1" s="1"/>
  <c r="E71" i="1"/>
  <c r="E72" i="1" s="1"/>
  <c r="E74" i="1" s="1"/>
  <c r="K71" i="1"/>
  <c r="R71" i="1"/>
  <c r="G71" i="1"/>
  <c r="H71" i="1"/>
  <c r="P71" i="1"/>
  <c r="P72" i="1" s="1"/>
  <c r="J71" i="1"/>
  <c r="J72" i="1" s="1"/>
  <c r="N71" i="1"/>
  <c r="N72" i="1" s="1"/>
  <c r="F71" i="1"/>
  <c r="S71" i="1"/>
  <c r="Q71" i="1"/>
  <c r="I71" i="1"/>
  <c r="L71" i="1"/>
  <c r="L72" i="1" s="1"/>
  <c r="O71" i="1"/>
  <c r="AA76" i="1" l="1"/>
  <c r="AA74" i="1"/>
  <c r="U76" i="1"/>
  <c r="U74" i="1"/>
  <c r="Z76" i="1"/>
  <c r="Z74" i="1"/>
  <c r="AB74" i="1"/>
  <c r="AB76" i="1"/>
  <c r="Y76" i="1"/>
  <c r="Y74" i="1"/>
  <c r="W76" i="1"/>
  <c r="W74" i="1"/>
  <c r="AC76" i="1"/>
  <c r="AC74" i="1"/>
  <c r="V76" i="1"/>
  <c r="V74" i="1"/>
  <c r="X76" i="1"/>
  <c r="X74" i="1"/>
  <c r="T74" i="1"/>
  <c r="T76" i="1"/>
  <c r="N74" i="1"/>
  <c r="N76" i="1"/>
  <c r="P74" i="1"/>
  <c r="G72" i="1"/>
  <c r="G74" i="1" s="1"/>
  <c r="F72" i="1"/>
  <c r="F76" i="1" s="1"/>
  <c r="H72" i="1"/>
  <c r="H74" i="1" s="1"/>
  <c r="O72" i="1"/>
  <c r="I72" i="1"/>
  <c r="R72" i="1"/>
  <c r="R74" i="1" s="1"/>
  <c r="E76" i="1"/>
  <c r="M76" i="1"/>
  <c r="L74" i="1"/>
  <c r="L76" i="1"/>
  <c r="S72" i="1"/>
  <c r="S74" i="1" s="1"/>
  <c r="J76" i="1"/>
  <c r="J74" i="1"/>
  <c r="Q72" i="1"/>
  <c r="Q76" i="1" s="1"/>
  <c r="K72" i="1"/>
  <c r="K74" i="1" s="1"/>
  <c r="E40" i="1" l="1"/>
  <c r="D40" i="1"/>
  <c r="K40" i="1" s="1"/>
  <c r="E39" i="1"/>
  <c r="D39" i="1"/>
  <c r="K39" i="1" s="1"/>
  <c r="F74" i="1"/>
  <c r="O74" i="1"/>
  <c r="H76" i="1"/>
  <c r="R76" i="1"/>
  <c r="G76" i="1"/>
  <c r="E41" i="1" s="1"/>
  <c r="S76" i="1"/>
  <c r="I76" i="1"/>
  <c r="Q74" i="1"/>
  <c r="K76" i="1"/>
  <c r="O76" i="1"/>
  <c r="I74" i="1"/>
  <c r="D62" i="1" l="1"/>
  <c r="K62" i="1" s="1"/>
  <c r="E53" i="1"/>
  <c r="C10" i="1" s="1"/>
  <c r="D59" i="1"/>
  <c r="K59" i="1" s="1"/>
  <c r="D57" i="1"/>
  <c r="K57" i="1" s="1"/>
  <c r="E62" i="1"/>
  <c r="E55" i="1"/>
  <c r="D60" i="1"/>
  <c r="K60" i="1" s="1"/>
  <c r="D55" i="1"/>
  <c r="K55" i="1" s="1"/>
  <c r="E60" i="1"/>
  <c r="E58" i="1"/>
  <c r="E57" i="1"/>
  <c r="D63" i="1"/>
  <c r="K63" i="1" s="1"/>
  <c r="D61" i="1"/>
  <c r="K61" i="1" s="1"/>
  <c r="D54" i="1"/>
  <c r="K54" i="1" s="1"/>
  <c r="E59" i="1"/>
  <c r="D56" i="1"/>
  <c r="K56" i="1" s="1"/>
  <c r="E61" i="1"/>
  <c r="E56" i="1"/>
  <c r="E54" i="1"/>
  <c r="D58" i="1"/>
  <c r="K58" i="1" s="1"/>
  <c r="E63" i="1"/>
  <c r="C11" i="1" s="1"/>
  <c r="D41" i="1"/>
  <c r="K41" i="1" s="1"/>
  <c r="D43" i="1"/>
  <c r="K43" i="1" s="1"/>
  <c r="E42" i="1"/>
  <c r="D50" i="1"/>
  <c r="K50" i="1" s="1"/>
  <c r="D47" i="1"/>
  <c r="K47" i="1" s="1"/>
  <c r="E47" i="1"/>
  <c r="D42" i="1"/>
  <c r="K42" i="1" s="1"/>
  <c r="D49" i="1"/>
  <c r="K49" i="1" s="1"/>
  <c r="E52" i="1"/>
  <c r="D51" i="1"/>
  <c r="K51" i="1" s="1"/>
  <c r="E51" i="1"/>
  <c r="D46" i="1"/>
  <c r="K46" i="1" s="1"/>
  <c r="D52" i="1"/>
  <c r="K52" i="1" s="1"/>
  <c r="E48" i="1"/>
  <c r="C9" i="1" s="1"/>
  <c r="D48" i="1"/>
  <c r="K48" i="1" s="1"/>
  <c r="D45" i="1"/>
  <c r="K45" i="1" s="1"/>
  <c r="E49" i="1"/>
  <c r="E46" i="1"/>
  <c r="D53" i="1"/>
  <c r="K53" i="1" s="1"/>
  <c r="E45" i="1"/>
  <c r="E50" i="1"/>
  <c r="E44" i="1"/>
  <c r="E43" i="1"/>
  <c r="D44" i="1"/>
  <c r="K44" i="1" s="1"/>
  <c r="C8" i="1" l="1"/>
</calcChain>
</file>

<file path=xl/sharedStrings.xml><?xml version="1.0" encoding="utf-8"?>
<sst xmlns="http://schemas.openxmlformats.org/spreadsheetml/2006/main" count="109" uniqueCount="60">
  <si>
    <t>Geinstalleerd vermogen(Wp)</t>
  </si>
  <si>
    <t>Niet te salderen kwh</t>
  </si>
  <si>
    <t>Afbouwpercentage</t>
  </si>
  <si>
    <t>Teruglevering aan net (kwh)</t>
  </si>
  <si>
    <t>Prijs/kwh</t>
  </si>
  <si>
    <t>Terugleververgoeding /kwh</t>
  </si>
  <si>
    <t>Opbrengst panelen (kwh)</t>
  </si>
  <si>
    <t>Afname net (kwh)</t>
  </si>
  <si>
    <t>Jaarlijks gebruik</t>
  </si>
  <si>
    <t xml:space="preserve">Te salderen kwh </t>
  </si>
  <si>
    <t>Opbrengst zonnepanelen</t>
  </si>
  <si>
    <t>Jaarlijkse opbrengst panelen (euro)</t>
  </si>
  <si>
    <t>Eigen gebruik kwh</t>
  </si>
  <si>
    <t>jaar</t>
  </si>
  <si>
    <t>Na</t>
  </si>
  <si>
    <t>Kosten zonnepanelen per Wp(euro)</t>
  </si>
  <si>
    <t>Eigen gebruik zonnepanelen(kwh)</t>
  </si>
  <si>
    <t>Toelichting</t>
  </si>
  <si>
    <t>Hier vul je het geinstalleerd vermogen in. Bijvoorbeeld: 10 panelen van 300 wp is 3000 wp</t>
  </si>
  <si>
    <t>Het vermogen van panelen daalt met ongeveer 0,55/jaar. Hiermee is geen rekening gehouden in de berekeningen</t>
  </si>
  <si>
    <t>Er is geen rekening gehouden met rentekosten. Indien de lening met een rente van bv 3% is afgesloten voor 5 jaar dan zal de terugverdientijd minder dan een jaar langer zijn.</t>
  </si>
  <si>
    <t>Saldo inkomsten-uitgaven</t>
  </si>
  <si>
    <t xml:space="preserve">In de kolom saldo inkomsten -uitgaven staat het saldo van inkomsten minus uigaven. </t>
  </si>
  <si>
    <t>Kosten aanleg zonnepanelen excl BTW(euro)</t>
  </si>
  <si>
    <t>De vergoeding van de energiemaatschappij indien meer kwh aan het net wordt geleverd dan aan het net wordt onttrokken. Prijs blijft in dit model over de hele periode hetzelfde. Prijs kan natuurlijk wel bij de input gegevens worden gevarieerd.</t>
  </si>
  <si>
    <r>
      <t xml:space="preserve">Onderstaand de uitkomsten van berekeningen gegeven de </t>
    </r>
    <r>
      <rPr>
        <sz val="11"/>
        <color rgb="FFFF0000"/>
        <rFont val="Calibri"/>
        <family val="2"/>
        <scheme val="minor"/>
      </rPr>
      <t>rode</t>
    </r>
    <r>
      <rPr>
        <sz val="11"/>
        <color theme="1"/>
        <rFont val="Calibri"/>
        <family val="2"/>
        <scheme val="minor"/>
      </rPr>
      <t xml:space="preserve"> inputgetallen. In de onderstaande kolom opbrengsten/kosten staat terugverdientijd. Indien deze hoger wordt dan 1 dan zijn de panelen terugverdiend</t>
    </r>
  </si>
  <si>
    <t>Jaarlijks gebruik(kwh)</t>
  </si>
  <si>
    <t xml:space="preserve">1. Hoe gebruik je het model. </t>
  </si>
  <si>
    <t>De prijs die aan de energiemaatschappij moet worden betaald per kwh. Prijs blijft in dit model over de hele periode hetzelfde. Prijs kan natuurlijk wel bij de input gegevens worden gevarieerd.</t>
  </si>
  <si>
    <t>Totaal gebruik in kwh.</t>
  </si>
  <si>
    <r>
      <t xml:space="preserve">Een deel van de opgewekte stroom wordt direct in het huishouden gebruikt. Bij orientatie op 1 richting (Oost of zuid of west) en een opwekking ongeveer gelijk aan je gebruik zal dit rond de 30% liggen. Als je meer opwekt dan je gebruikt zal dat hoger liggen anders lager. Bij orientatie op bv west </t>
    </r>
    <r>
      <rPr>
        <b/>
        <sz val="11"/>
        <color theme="1"/>
        <rFont val="Calibri"/>
        <family val="2"/>
        <scheme val="minor"/>
      </rPr>
      <t>en</t>
    </r>
    <r>
      <rPr>
        <sz val="11"/>
        <color theme="1"/>
        <rFont val="Calibri"/>
        <family val="2"/>
        <scheme val="minor"/>
      </rPr>
      <t xml:space="preserve"> oost kan dit mogelijk oplopen tot 50-%</t>
    </r>
  </si>
  <si>
    <t>Rendement zonnepanelen =orientatie(%/100)</t>
  </si>
  <si>
    <t>Deel jaarlijks gebruik direct van zonnepanelen(%/100)</t>
  </si>
  <si>
    <t>Dit betreft de produktie van de zonnepanelen die direct wordt gebruikt. Het betreft het verschil tussen de produktie in kwh van de omvormer en de kwh die volgens de slimme meter is geleverd aan het net. Dit verschil is het zelfgebruik.</t>
  </si>
  <si>
    <t>De jaarlijkse afname van het net.</t>
  </si>
  <si>
    <t>De productie van de zonnepanelen minus het directe gebruik van de panelen</t>
  </si>
  <si>
    <t>Het rendement van de panelen maal het geinstalleerde vermogen.</t>
  </si>
  <si>
    <t>De investering (excl BTW) gedeeld door het het ginstalleerde vermogen. Een kengetal om offertes te vergelijken</t>
  </si>
  <si>
    <t>De totale aanlegkosten zonder BTW</t>
  </si>
  <si>
    <t>Dit getal geeft het rendement aan van het geinstalleerd vermogen. Bij een zuidelijke orientatie en een hoek van rond de 35 graden gaat het rendement richting de 100%. Bij oost of west orientatie en een hoek van rond de 35 graden tussen de 85 en 90 %</t>
  </si>
  <si>
    <t>Het jaarlijkse kwh gebruik voorafgaand aan de aanschaf van de zonnepanelen. In dit model blijft het gebruik over de hele periode gelijk.</t>
  </si>
  <si>
    <t>Terugverdientijd</t>
  </si>
  <si>
    <t>Dus 10 zonnepanelen van 300 Wp is in totaal 3000wp. Dan vul je bij   geinstalleerd vermogen 3000 in.</t>
  </si>
  <si>
    <t>Terugverdientijd in jaren</t>
  </si>
  <si>
    <t>3. Inputgegevens (rood is aanpasbaar)</t>
  </si>
  <si>
    <t>4. Wat is niet in de berekening verwerkt</t>
  </si>
  <si>
    <t>5. Enkele uitkomsten gegeven de input tbv van de berekeningen</t>
  </si>
  <si>
    <t>6. Resultaat berekeningen ervan uitgaande dat de panelen nog voor 2023 worden geplaatst. Dus geheel 2023 produceren. Anders schuift alles wat naar achteren in de tijd.</t>
  </si>
  <si>
    <t>7. Nadere onderbouwing berekening</t>
  </si>
  <si>
    <r>
      <t>Dat is heel eenvoudig. Je vult bij de inputgegeven de voor jou van toepassing zijnde getallen in. Dat zijn de</t>
    </r>
    <r>
      <rPr>
        <sz val="11"/>
        <color rgb="FFFF0000"/>
        <rFont val="Calibri"/>
        <family val="2"/>
        <scheme val="minor"/>
      </rPr>
      <t xml:space="preserve"> rood</t>
    </r>
    <r>
      <rPr>
        <sz val="11"/>
        <color theme="1"/>
        <rFont val="Calibri"/>
        <family val="2"/>
        <scheme val="minor"/>
      </rPr>
      <t xml:space="preserve"> gemaakte getallen bij de inputgegevens bij (3). </t>
    </r>
  </si>
  <si>
    <t xml:space="preserve">Onder (2) vind je de terugverdientijd. Onder (6) meer informatie over de terugverdientijd en het saldo inkomsten/uitgaven. Indien in de kolom "terugverdientijd"de waarde hoger dan 1 is dan -zonder rekening te houden met eventuele rente- is de investering terugverdiend. </t>
  </si>
  <si>
    <t>Hulpkolommen</t>
  </si>
  <si>
    <t>Opbrengst na 10 jaar</t>
  </si>
  <si>
    <t xml:space="preserve">Opbrengst na 15 jaar </t>
  </si>
  <si>
    <t>Opbrengst na 25 jaar</t>
  </si>
  <si>
    <t>Bij prijs/kwh je huidige stroomprijs of de verwachte stroomprijs in de toekomst. Hiermee kun je varieren voor een gevoeligheidsanalyse. Gezien de zeer variabele  stroomprijs is het goed om het reultaat van verschillende berekeningen bezien.</t>
  </si>
  <si>
    <t>2. Terugverdientijd/opbrengst</t>
  </si>
  <si>
    <t>Vervanging  omvormer</t>
  </si>
  <si>
    <t>(incl vervanging omvormer van 1000 euro in jaar 12)</t>
  </si>
  <si>
    <t>(incl vervanging omvormer van 1000 euro in jaar 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</si>
</sst>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8"/>
      <name val="Calibri"/>
      <family val="2"/>
      <scheme val="minor"/>
    </font>
    <font>
      <sz val="10"/>
      <name val="Arial"/>
      <family val="2"/>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applyAlignment="1">
      <alignment horizontal="left"/>
    </xf>
    <xf numFmtId="0" fontId="0" fillId="0" borderId="0" xfId="0" applyAlignment="1">
      <alignment horizontal="center"/>
    </xf>
    <xf numFmtId="1" fontId="0" fillId="0" borderId="0" xfId="0" applyNumberFormat="1"/>
    <xf numFmtId="1" fontId="0" fillId="0" borderId="0" xfId="0" applyNumberFormat="1" applyAlignment="1">
      <alignment horizontal="center"/>
    </xf>
    <xf numFmtId="0" fontId="1" fillId="0" borderId="0" xfId="0" applyFont="1"/>
    <xf numFmtId="2" fontId="0" fillId="0" borderId="0" xfId="0" applyNumberFormat="1" applyAlignment="1">
      <alignment horizontal="center"/>
    </xf>
    <xf numFmtId="0" fontId="1" fillId="0" borderId="0" xfId="0" applyFont="1" applyAlignment="1">
      <alignment horizontal="center"/>
    </xf>
    <xf numFmtId="0" fontId="2" fillId="0" borderId="0" xfId="0" applyFont="1" applyAlignment="1">
      <alignment horizontal="center"/>
    </xf>
    <xf numFmtId="1" fontId="1" fillId="0" borderId="0" xfId="0" applyNumberFormat="1" applyFont="1" applyAlignment="1">
      <alignment horizontal="center"/>
    </xf>
    <xf numFmtId="0" fontId="1" fillId="0" borderId="0" xfId="0" applyFont="1" applyAlignment="1">
      <alignment horizontal="left"/>
    </xf>
    <xf numFmtId="0" fontId="0" fillId="2" borderId="0" xfId="0" applyFill="1"/>
    <xf numFmtId="0" fontId="0" fillId="0" borderId="0" xfId="0" applyAlignment="1">
      <alignment horizontal="right"/>
    </xf>
    <xf numFmtId="15" fontId="0" fillId="0" borderId="0" xfId="0" applyNumberFormat="1"/>
    <xf numFmtId="2" fontId="3" fillId="0" borderId="0" xfId="0" applyNumberFormat="1" applyFont="1" applyAlignment="1">
      <alignment horizontal="center"/>
    </xf>
    <xf numFmtId="164" fontId="0" fillId="0" borderId="0" xfId="0" applyNumberFormat="1" applyAlignment="1">
      <alignment horizontal="center"/>
    </xf>
    <xf numFmtId="1" fontId="5" fillId="0" borderId="0" xfId="0" applyNumberFormat="1" applyFo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3632E-B2C9-4855-B83A-0F5FA68A9026}">
  <dimension ref="A1:AC98"/>
  <sheetViews>
    <sheetView tabSelected="1" workbookViewId="0">
      <selection activeCell="E50" sqref="E50"/>
    </sheetView>
  </sheetViews>
  <sheetFormatPr defaultRowHeight="14.5" x14ac:dyDescent="0.35"/>
  <cols>
    <col min="1" max="1" width="10.1796875" customWidth="1"/>
    <col min="2" max="2" width="13.08984375" customWidth="1"/>
    <col min="3" max="3" width="13.36328125" customWidth="1"/>
    <col min="4" max="4" width="8.6328125" customWidth="1"/>
    <col min="5" max="5" width="20.36328125" customWidth="1"/>
    <col min="6" max="6" width="18.26953125" customWidth="1"/>
    <col min="7" max="7" width="17.54296875" customWidth="1"/>
    <col min="8" max="8" width="20.81640625" customWidth="1"/>
    <col min="9" max="9" width="20.7265625" customWidth="1"/>
    <col min="10" max="10" width="21.6328125" customWidth="1"/>
    <col min="11" max="11" width="8" customWidth="1"/>
    <col min="12" max="12" width="8.08984375" customWidth="1"/>
    <col min="13" max="13" width="9.81640625" customWidth="1"/>
    <col min="14" max="19" width="9.26953125" bestFit="1" customWidth="1"/>
  </cols>
  <sheetData>
    <row r="1" spans="1:19" x14ac:dyDescent="0.35">
      <c r="A1" s="5" t="s">
        <v>27</v>
      </c>
    </row>
    <row r="2" spans="1:19" x14ac:dyDescent="0.35">
      <c r="A2" t="s">
        <v>49</v>
      </c>
    </row>
    <row r="3" spans="1:19" x14ac:dyDescent="0.35">
      <c r="A3" t="s">
        <v>42</v>
      </c>
    </row>
    <row r="4" spans="1:19" x14ac:dyDescent="0.35">
      <c r="A4" t="s">
        <v>55</v>
      </c>
    </row>
    <row r="5" spans="1:19" x14ac:dyDescent="0.35">
      <c r="A5" t="s">
        <v>50</v>
      </c>
    </row>
    <row r="6" spans="1:19" x14ac:dyDescent="0.35">
      <c r="A6" s="11"/>
      <c r="B6" s="11"/>
      <c r="C6" s="11"/>
      <c r="D6" s="11"/>
      <c r="E6" s="11"/>
      <c r="F6" s="11"/>
      <c r="G6" s="11"/>
      <c r="H6" s="11"/>
      <c r="I6" s="11"/>
      <c r="J6" s="11"/>
      <c r="K6" s="11"/>
      <c r="L6" s="11"/>
      <c r="M6" s="11"/>
      <c r="N6" s="11"/>
      <c r="O6" s="11"/>
      <c r="P6" s="11"/>
      <c r="Q6" s="11"/>
      <c r="R6" s="11"/>
      <c r="S6" s="11"/>
    </row>
    <row r="7" spans="1:19" x14ac:dyDescent="0.35">
      <c r="A7" s="5" t="s">
        <v>56</v>
      </c>
    </row>
    <row r="8" spans="1:19" x14ac:dyDescent="0.35">
      <c r="A8" t="s">
        <v>43</v>
      </c>
      <c r="C8" s="16">
        <f>VLOOKUP(M39,K39:L63,2,0)</f>
        <v>7</v>
      </c>
      <c r="H8" s="4"/>
    </row>
    <row r="9" spans="1:19" x14ac:dyDescent="0.35">
      <c r="A9" t="s">
        <v>52</v>
      </c>
      <c r="C9" s="16">
        <f>E48</f>
        <v>1736.5199999999995</v>
      </c>
      <c r="H9" s="4"/>
    </row>
    <row r="10" spans="1:19" x14ac:dyDescent="0.35">
      <c r="A10" t="s">
        <v>53</v>
      </c>
      <c r="C10" s="16">
        <f>+E53-1000</f>
        <v>2226.5200000000004</v>
      </c>
      <c r="D10" t="s">
        <v>58</v>
      </c>
      <c r="H10" s="4"/>
    </row>
    <row r="11" spans="1:19" x14ac:dyDescent="0.35">
      <c r="A11" t="s">
        <v>54</v>
      </c>
      <c r="C11" s="16">
        <f>E63-1000</f>
        <v>7206.52</v>
      </c>
      <c r="D11" t="s">
        <v>59</v>
      </c>
      <c r="H11" s="4"/>
    </row>
    <row r="12" spans="1:19" x14ac:dyDescent="0.35">
      <c r="A12" s="11"/>
      <c r="B12" s="11"/>
      <c r="C12" s="11"/>
      <c r="D12" s="11"/>
      <c r="E12" s="11"/>
      <c r="F12" s="11"/>
      <c r="G12" s="11"/>
      <c r="H12" s="11"/>
      <c r="I12" s="11"/>
      <c r="J12" s="11"/>
      <c r="K12" s="11"/>
      <c r="L12" s="11"/>
      <c r="M12" s="11"/>
      <c r="N12" s="11"/>
      <c r="O12" s="11"/>
      <c r="P12" s="11"/>
      <c r="Q12" s="11"/>
      <c r="R12" s="11"/>
      <c r="S12" s="11"/>
    </row>
    <row r="13" spans="1:19" x14ac:dyDescent="0.35">
      <c r="A13" s="5" t="s">
        <v>44</v>
      </c>
      <c r="G13" s="5" t="s">
        <v>17</v>
      </c>
      <c r="P13" s="3"/>
      <c r="Q13" s="3"/>
    </row>
    <row r="14" spans="1:19" x14ac:dyDescent="0.35">
      <c r="A14" t="s">
        <v>0</v>
      </c>
      <c r="E14" s="8">
        <v>3000</v>
      </c>
      <c r="G14" t="s">
        <v>18</v>
      </c>
      <c r="O14">
        <v>0</v>
      </c>
      <c r="P14" s="3"/>
      <c r="Q14" s="3"/>
    </row>
    <row r="15" spans="1:19" x14ac:dyDescent="0.35">
      <c r="A15" t="s">
        <v>23</v>
      </c>
      <c r="E15" s="8">
        <v>6000</v>
      </c>
      <c r="G15" t="s">
        <v>38</v>
      </c>
      <c r="P15" s="3"/>
      <c r="Q15" s="3"/>
    </row>
    <row r="16" spans="1:19" x14ac:dyDescent="0.35">
      <c r="A16" t="s">
        <v>31</v>
      </c>
      <c r="E16" s="8">
        <v>0.88</v>
      </c>
      <c r="G16" t="s">
        <v>39</v>
      </c>
      <c r="P16" s="3"/>
      <c r="Q16" s="3"/>
    </row>
    <row r="17" spans="1:19" x14ac:dyDescent="0.35">
      <c r="A17" t="s">
        <v>26</v>
      </c>
      <c r="E17" s="8">
        <v>2800</v>
      </c>
      <c r="G17" t="s">
        <v>40</v>
      </c>
      <c r="P17" s="3"/>
      <c r="Q17" s="3"/>
    </row>
    <row r="18" spans="1:19" x14ac:dyDescent="0.35">
      <c r="A18" t="s">
        <v>32</v>
      </c>
      <c r="E18" s="8">
        <v>0.3</v>
      </c>
      <c r="G18" t="s">
        <v>30</v>
      </c>
      <c r="P18" s="3"/>
      <c r="Q18" s="3"/>
    </row>
    <row r="19" spans="1:19" x14ac:dyDescent="0.35">
      <c r="A19" t="s">
        <v>4</v>
      </c>
      <c r="E19" s="8">
        <v>0.4</v>
      </c>
      <c r="G19" t="s">
        <v>28</v>
      </c>
      <c r="P19" s="3"/>
      <c r="Q19" s="3"/>
    </row>
    <row r="20" spans="1:19" x14ac:dyDescent="0.35">
      <c r="A20" t="s">
        <v>5</v>
      </c>
      <c r="E20" s="8">
        <v>0.09</v>
      </c>
      <c r="G20" t="s">
        <v>24</v>
      </c>
      <c r="P20" s="3"/>
      <c r="Q20" s="3"/>
    </row>
    <row r="21" spans="1:19" x14ac:dyDescent="0.35">
      <c r="A21" s="11"/>
      <c r="B21" s="11"/>
      <c r="C21" s="11"/>
      <c r="D21" s="11"/>
      <c r="E21" s="11"/>
      <c r="F21" s="11"/>
      <c r="G21" s="11"/>
      <c r="H21" s="11"/>
      <c r="I21" s="11"/>
      <c r="J21" s="11"/>
      <c r="K21" s="11"/>
      <c r="L21" s="11"/>
      <c r="M21" s="11"/>
      <c r="N21" s="11"/>
      <c r="O21" s="11"/>
      <c r="P21" s="11"/>
      <c r="Q21" s="11"/>
      <c r="R21" s="11"/>
      <c r="S21" s="11"/>
    </row>
    <row r="22" spans="1:19" x14ac:dyDescent="0.35">
      <c r="A22" s="5" t="s">
        <v>45</v>
      </c>
      <c r="B22" s="5"/>
      <c r="E22" s="8"/>
    </row>
    <row r="23" spans="1:19" x14ac:dyDescent="0.35">
      <c r="E23" s="8"/>
    </row>
    <row r="24" spans="1:19" x14ac:dyDescent="0.35">
      <c r="A24" t="s">
        <v>19</v>
      </c>
      <c r="E24" s="8"/>
    </row>
    <row r="25" spans="1:19" x14ac:dyDescent="0.35">
      <c r="A25" t="s">
        <v>20</v>
      </c>
    </row>
    <row r="26" spans="1:19" x14ac:dyDescent="0.35">
      <c r="A26" s="11"/>
      <c r="B26" s="11"/>
      <c r="C26" s="11"/>
      <c r="D26" s="11"/>
      <c r="E26" s="11"/>
      <c r="F26" s="11"/>
      <c r="G26" s="11"/>
      <c r="H26" s="11"/>
      <c r="I26" s="11"/>
      <c r="J26" s="11"/>
      <c r="K26" s="11"/>
      <c r="L26" s="11"/>
      <c r="M26" s="11"/>
      <c r="N26" s="11"/>
      <c r="O26" s="11"/>
      <c r="P26" s="11"/>
      <c r="Q26" s="11"/>
      <c r="R26" s="11"/>
      <c r="S26" s="11"/>
    </row>
    <row r="27" spans="1:19" x14ac:dyDescent="0.35">
      <c r="A27" s="5" t="s">
        <v>46</v>
      </c>
      <c r="G27" s="5" t="s">
        <v>17</v>
      </c>
    </row>
    <row r="28" spans="1:19" x14ac:dyDescent="0.35">
      <c r="A28" t="s">
        <v>16</v>
      </c>
      <c r="E28" s="4">
        <f>E18*E17</f>
        <v>840</v>
      </c>
      <c r="G28" t="s">
        <v>33</v>
      </c>
    </row>
    <row r="29" spans="1:19" x14ac:dyDescent="0.35">
      <c r="A29" t="s">
        <v>7</v>
      </c>
      <c r="E29" s="4">
        <f>E17-E28</f>
        <v>1960</v>
      </c>
      <c r="G29" t="s">
        <v>34</v>
      </c>
    </row>
    <row r="30" spans="1:19" x14ac:dyDescent="0.35">
      <c r="A30" t="s">
        <v>3</v>
      </c>
      <c r="E30" s="4">
        <f>E14*E16-E28</f>
        <v>1800</v>
      </c>
      <c r="G30" t="s">
        <v>35</v>
      </c>
    </row>
    <row r="31" spans="1:19" x14ac:dyDescent="0.35">
      <c r="A31" t="s">
        <v>6</v>
      </c>
      <c r="E31" s="4">
        <f>E16*E14</f>
        <v>2640</v>
      </c>
      <c r="G31" t="s">
        <v>36</v>
      </c>
    </row>
    <row r="32" spans="1:19" x14ac:dyDescent="0.35">
      <c r="A32" t="s">
        <v>15</v>
      </c>
      <c r="E32" s="14">
        <f>E15/E14</f>
        <v>2</v>
      </c>
      <c r="G32" t="s">
        <v>37</v>
      </c>
    </row>
    <row r="33" spans="1:19" x14ac:dyDescent="0.35">
      <c r="A33" s="11"/>
      <c r="B33" s="11"/>
      <c r="C33" s="11"/>
      <c r="D33" s="11"/>
      <c r="E33" s="11"/>
      <c r="F33" s="11"/>
      <c r="G33" s="11"/>
      <c r="H33" s="11"/>
      <c r="I33" s="11"/>
      <c r="J33" s="11"/>
      <c r="K33" s="11"/>
      <c r="L33" s="11"/>
      <c r="M33" s="11"/>
      <c r="N33" s="11"/>
      <c r="O33" s="11"/>
      <c r="P33" s="11"/>
      <c r="Q33" s="11"/>
      <c r="R33" s="11"/>
      <c r="S33" s="11"/>
    </row>
    <row r="34" spans="1:19" x14ac:dyDescent="0.35">
      <c r="A34" s="5" t="s">
        <v>47</v>
      </c>
      <c r="F34" s="1"/>
    </row>
    <row r="35" spans="1:19" x14ac:dyDescent="0.35">
      <c r="A35" t="s">
        <v>25</v>
      </c>
    </row>
    <row r="36" spans="1:19" x14ac:dyDescent="0.35">
      <c r="A36" t="s">
        <v>22</v>
      </c>
    </row>
    <row r="37" spans="1:19" x14ac:dyDescent="0.35">
      <c r="E37" s="5"/>
    </row>
    <row r="38" spans="1:19" x14ac:dyDescent="0.35">
      <c r="A38" s="5"/>
      <c r="D38" s="7" t="s">
        <v>41</v>
      </c>
      <c r="E38" s="10" t="s">
        <v>21</v>
      </c>
      <c r="K38" s="5" t="s">
        <v>51</v>
      </c>
    </row>
    <row r="39" spans="1:19" x14ac:dyDescent="0.35">
      <c r="A39" s="1" t="s">
        <v>14</v>
      </c>
      <c r="B39" s="1">
        <v>1</v>
      </c>
      <c r="C39" s="1" t="s">
        <v>13</v>
      </c>
      <c r="D39" s="15">
        <f>SUM($E$76:$E$76)/$E$15</f>
        <v>0.17599999999999999</v>
      </c>
      <c r="E39" s="4">
        <f>SUM($E$76:$E$76)-$E$15</f>
        <v>-4944</v>
      </c>
      <c r="G39" s="1"/>
      <c r="K39" s="4">
        <f t="shared" ref="K39:K53" si="0">TRUNC(D39)</f>
        <v>0</v>
      </c>
      <c r="L39" s="2">
        <v>1</v>
      </c>
      <c r="M39" s="2">
        <v>1</v>
      </c>
    </row>
    <row r="40" spans="1:19" x14ac:dyDescent="0.35">
      <c r="A40" s="1" t="s">
        <v>14</v>
      </c>
      <c r="B40" s="1">
        <v>2</v>
      </c>
      <c r="C40" s="1" t="s">
        <v>13</v>
      </c>
      <c r="D40" s="6">
        <f>SUM($E$76:$F$76)/$E$15</f>
        <v>0.35199999999999998</v>
      </c>
      <c r="E40" s="4">
        <f>SUM($E$76:$F$76)-$E$15</f>
        <v>-3888</v>
      </c>
      <c r="G40" s="1"/>
      <c r="K40" s="4">
        <f t="shared" si="0"/>
        <v>0</v>
      </c>
      <c r="L40" s="2">
        <v>2</v>
      </c>
      <c r="M40" s="2"/>
    </row>
    <row r="41" spans="1:19" x14ac:dyDescent="0.35">
      <c r="A41" s="1" t="s">
        <v>14</v>
      </c>
      <c r="B41" s="1">
        <v>3</v>
      </c>
      <c r="C41" s="1" t="s">
        <v>13</v>
      </c>
      <c r="D41" s="6">
        <f>SUM($E$76:$G$76)/$E$15</f>
        <v>0.49451999999999996</v>
      </c>
      <c r="E41" s="4">
        <f>SUM($E$76:$G$76)-$E$15</f>
        <v>-3032.88</v>
      </c>
      <c r="G41" s="1"/>
      <c r="I41" s="7"/>
      <c r="J41" s="7"/>
      <c r="K41" s="4">
        <f t="shared" si="0"/>
        <v>0</v>
      </c>
      <c r="L41" s="2">
        <v>3</v>
      </c>
      <c r="M41" s="2"/>
    </row>
    <row r="42" spans="1:19" x14ac:dyDescent="0.35">
      <c r="A42" s="1" t="s">
        <v>14</v>
      </c>
      <c r="B42" s="1">
        <v>4</v>
      </c>
      <c r="C42" s="1" t="s">
        <v>13</v>
      </c>
      <c r="D42" s="6">
        <f>SUM($E$76:$H$76)/$E$15</f>
        <v>0.63703999999999994</v>
      </c>
      <c r="E42" s="4">
        <f>SUM($E$76:$H$76)-$E$15</f>
        <v>-2177.7600000000002</v>
      </c>
      <c r="G42" s="1"/>
      <c r="J42" s="4"/>
      <c r="K42" s="4">
        <f t="shared" si="0"/>
        <v>0</v>
      </c>
      <c r="L42" s="2">
        <v>4</v>
      </c>
      <c r="M42" s="2"/>
    </row>
    <row r="43" spans="1:19" x14ac:dyDescent="0.35">
      <c r="A43" s="1" t="s">
        <v>14</v>
      </c>
      <c r="B43" s="1">
        <v>5</v>
      </c>
      <c r="C43" s="1" t="s">
        <v>13</v>
      </c>
      <c r="D43" s="6">
        <f>SUM($E$76:$I$76)/$E$15</f>
        <v>0.77118999999999993</v>
      </c>
      <c r="E43" s="4">
        <f>SUM($E$76:$I$76)-$E$15</f>
        <v>-1372.8600000000006</v>
      </c>
      <c r="G43" s="1"/>
      <c r="I43" s="4"/>
      <c r="J43" s="4"/>
      <c r="K43" s="4">
        <f t="shared" si="0"/>
        <v>0</v>
      </c>
      <c r="L43" s="2">
        <v>5</v>
      </c>
      <c r="M43" s="2"/>
      <c r="P43" s="3"/>
      <c r="Q43" s="3"/>
    </row>
    <row r="44" spans="1:19" x14ac:dyDescent="0.35">
      <c r="A44" s="1" t="s">
        <v>14</v>
      </c>
      <c r="B44" s="1">
        <f t="shared" ref="B44:B63" si="1">B43+1</f>
        <v>6</v>
      </c>
      <c r="C44" s="1" t="s">
        <v>13</v>
      </c>
      <c r="D44" s="6">
        <f>SUM($E$76:$J$76)/$E$15</f>
        <v>0.89696999999999993</v>
      </c>
      <c r="E44" s="4">
        <f>SUM($E$76:$J$76)-$E$15</f>
        <v>-618.18000000000029</v>
      </c>
      <c r="G44" s="1"/>
      <c r="I44" s="4"/>
      <c r="J44" s="4"/>
      <c r="K44" s="4">
        <f t="shared" si="0"/>
        <v>0</v>
      </c>
      <c r="L44" s="2">
        <f t="shared" ref="L44:L63" si="2">L43+1</f>
        <v>6</v>
      </c>
      <c r="M44" s="2"/>
      <c r="P44" s="3"/>
      <c r="Q44" s="3"/>
    </row>
    <row r="45" spans="1:19" x14ac:dyDescent="0.35">
      <c r="A45" s="1" t="s">
        <v>14</v>
      </c>
      <c r="B45" s="1">
        <f t="shared" si="1"/>
        <v>7</v>
      </c>
      <c r="C45" s="1" t="s">
        <v>13</v>
      </c>
      <c r="D45" s="6">
        <f>SUM($E$76:$K$76)/$E$15</f>
        <v>1.0143800000000001</v>
      </c>
      <c r="E45" s="4">
        <f>SUM($E$76:$K$76)-$E$15</f>
        <v>86.279999999999745</v>
      </c>
      <c r="G45" s="1"/>
      <c r="K45" s="4">
        <f t="shared" si="0"/>
        <v>1</v>
      </c>
      <c r="L45" s="2">
        <f t="shared" si="2"/>
        <v>7</v>
      </c>
      <c r="M45" s="2"/>
      <c r="P45" s="3"/>
      <c r="Q45" s="3"/>
    </row>
    <row r="46" spans="1:19" x14ac:dyDescent="0.35">
      <c r="A46" s="1" t="s">
        <v>14</v>
      </c>
      <c r="B46" s="1">
        <f t="shared" si="1"/>
        <v>8</v>
      </c>
      <c r="C46" s="1" t="s">
        <v>13</v>
      </c>
      <c r="D46" s="6">
        <f>SUM($E$76:$L$76)/$E$15</f>
        <v>1.1234199999999999</v>
      </c>
      <c r="E46" s="4">
        <f>SUM($E$76:$L$76)-$E$15</f>
        <v>740.51999999999953</v>
      </c>
      <c r="G46" s="1"/>
      <c r="K46" s="4">
        <f t="shared" si="0"/>
        <v>1</v>
      </c>
      <c r="L46" s="2">
        <f t="shared" si="2"/>
        <v>8</v>
      </c>
      <c r="M46" s="2"/>
      <c r="P46" s="3"/>
      <c r="Q46" s="3"/>
    </row>
    <row r="47" spans="1:19" x14ac:dyDescent="0.35">
      <c r="A47" s="1" t="s">
        <v>14</v>
      </c>
      <c r="B47" s="1">
        <f t="shared" si="1"/>
        <v>9</v>
      </c>
      <c r="C47" s="1" t="s">
        <v>13</v>
      </c>
      <c r="D47" s="6">
        <f>SUM($E$76:$M$76)/$E$15</f>
        <v>1.2064199999999998</v>
      </c>
      <c r="E47" s="4">
        <f>SUM($E$76:$M$76)-$E$15</f>
        <v>1238.5199999999995</v>
      </c>
      <c r="G47" s="1"/>
      <c r="K47" s="4">
        <f t="shared" si="0"/>
        <v>1</v>
      </c>
      <c r="L47" s="2">
        <f t="shared" si="2"/>
        <v>9</v>
      </c>
      <c r="M47" s="2"/>
    </row>
    <row r="48" spans="1:19" x14ac:dyDescent="0.35">
      <c r="A48" s="1" t="s">
        <v>14</v>
      </c>
      <c r="B48" s="1">
        <f t="shared" si="1"/>
        <v>10</v>
      </c>
      <c r="C48" s="1" t="s">
        <v>13</v>
      </c>
      <c r="D48" s="6">
        <f>SUM($E$76:$N$76)/($E$15+$E$23)</f>
        <v>1.28942</v>
      </c>
      <c r="E48" s="4">
        <f>SUM($E$76:$N$76)-$E$15-$E$23</f>
        <v>1736.5199999999995</v>
      </c>
      <c r="G48" s="1"/>
      <c r="K48" s="4">
        <f t="shared" si="0"/>
        <v>1</v>
      </c>
      <c r="L48" s="2">
        <f t="shared" si="2"/>
        <v>10</v>
      </c>
      <c r="M48" s="2"/>
    </row>
    <row r="49" spans="1:29" x14ac:dyDescent="0.35">
      <c r="A49" s="1" t="s">
        <v>14</v>
      </c>
      <c r="B49" s="1">
        <f t="shared" si="1"/>
        <v>11</v>
      </c>
      <c r="C49" s="1" t="s">
        <v>13</v>
      </c>
      <c r="D49" s="6">
        <f>SUM($E$76:$O$76)/($E$15+$E$23)</f>
        <v>1.37242</v>
      </c>
      <c r="E49" s="4">
        <f>SUM($E$76:$O$76)-$E$15-$E$23</f>
        <v>2234.5200000000004</v>
      </c>
      <c r="G49" s="1"/>
      <c r="K49" s="4">
        <f t="shared" si="0"/>
        <v>1</v>
      </c>
      <c r="L49" s="2">
        <f t="shared" si="2"/>
        <v>11</v>
      </c>
      <c r="M49" s="2"/>
    </row>
    <row r="50" spans="1:29" x14ac:dyDescent="0.35">
      <c r="A50" s="1" t="s">
        <v>14</v>
      </c>
      <c r="B50" s="1">
        <f t="shared" si="1"/>
        <v>12</v>
      </c>
      <c r="C50" s="1" t="s">
        <v>13</v>
      </c>
      <c r="D50" s="6">
        <f>SUM($E$76:$P$76)/($E$15+$E$23)</f>
        <v>1.2887533333333334</v>
      </c>
      <c r="E50" s="4">
        <f>SUM($E$76:$P$76)-$E$15-$E$23</f>
        <v>1732.5200000000004</v>
      </c>
      <c r="G50" s="1"/>
      <c r="K50" s="4">
        <f t="shared" si="0"/>
        <v>1</v>
      </c>
      <c r="L50" s="2">
        <f t="shared" si="2"/>
        <v>12</v>
      </c>
      <c r="M50" s="2"/>
    </row>
    <row r="51" spans="1:29" x14ac:dyDescent="0.35">
      <c r="A51" s="1" t="s">
        <v>14</v>
      </c>
      <c r="B51" s="1">
        <f t="shared" si="1"/>
        <v>13</v>
      </c>
      <c r="C51" s="1" t="s">
        <v>13</v>
      </c>
      <c r="D51" s="6">
        <f>SUM($E$76:$Q$76)/($E$15+$E$23)</f>
        <v>1.3717533333333334</v>
      </c>
      <c r="E51" s="4">
        <f>SUM($E$76:$Q$76)-$E$15-$E$23</f>
        <v>2230.5200000000004</v>
      </c>
      <c r="G51" s="1"/>
      <c r="K51" s="4">
        <f t="shared" si="0"/>
        <v>1</v>
      </c>
      <c r="L51" s="2">
        <f t="shared" si="2"/>
        <v>13</v>
      </c>
      <c r="M51" s="2"/>
    </row>
    <row r="52" spans="1:29" x14ac:dyDescent="0.35">
      <c r="A52" s="1" t="s">
        <v>14</v>
      </c>
      <c r="B52" s="1">
        <f t="shared" si="1"/>
        <v>14</v>
      </c>
      <c r="C52" s="1" t="s">
        <v>13</v>
      </c>
      <c r="D52" s="6">
        <f>SUM($E$76:$R$76)/($E$15+$E$23)</f>
        <v>1.4547533333333333</v>
      </c>
      <c r="E52" s="4">
        <f>SUM($E$76:$R$76)-$E$15-$E$23</f>
        <v>2728.5200000000004</v>
      </c>
      <c r="G52" s="1"/>
      <c r="I52" s="4"/>
      <c r="J52" s="4"/>
      <c r="K52" s="4">
        <f t="shared" si="0"/>
        <v>1</v>
      </c>
      <c r="L52" s="2">
        <f t="shared" si="2"/>
        <v>14</v>
      </c>
      <c r="M52" s="2"/>
      <c r="O52" s="2"/>
      <c r="P52" s="2"/>
    </row>
    <row r="53" spans="1:29" x14ac:dyDescent="0.35">
      <c r="A53" s="1" t="s">
        <v>14</v>
      </c>
      <c r="B53" s="1">
        <f t="shared" si="1"/>
        <v>15</v>
      </c>
      <c r="C53" s="1" t="s">
        <v>13</v>
      </c>
      <c r="D53" s="6">
        <f>SUM($E$76:$S$76)/($E$15+$E$23)</f>
        <v>1.5377533333333333</v>
      </c>
      <c r="E53" s="4">
        <f>SUM($E$76:$S$76)-$E$15-$E$23</f>
        <v>3226.5200000000004</v>
      </c>
      <c r="G53" s="1"/>
      <c r="K53" s="4">
        <f t="shared" si="0"/>
        <v>1</v>
      </c>
      <c r="L53" s="2">
        <f t="shared" si="2"/>
        <v>15</v>
      </c>
      <c r="M53" s="2"/>
    </row>
    <row r="54" spans="1:29" x14ac:dyDescent="0.35">
      <c r="A54" s="1" t="s">
        <v>14</v>
      </c>
      <c r="B54" s="1">
        <f t="shared" si="1"/>
        <v>16</v>
      </c>
      <c r="C54" s="1" t="s">
        <v>13</v>
      </c>
      <c r="D54" s="6">
        <f>SUM($E$76:$T$76)/($E$15+$E$23)</f>
        <v>1.6207533333333335</v>
      </c>
      <c r="E54" s="4">
        <f>SUM($E$76:$T$76)-$E$15-$E$23</f>
        <v>3724.5200000000004</v>
      </c>
      <c r="K54" s="4">
        <f t="shared" ref="K54:K63" si="3">TRUNC(D54)</f>
        <v>1</v>
      </c>
      <c r="L54" s="2">
        <f t="shared" si="2"/>
        <v>16</v>
      </c>
    </row>
    <row r="55" spans="1:29" x14ac:dyDescent="0.35">
      <c r="A55" s="1" t="s">
        <v>14</v>
      </c>
      <c r="B55" s="1">
        <f t="shared" si="1"/>
        <v>17</v>
      </c>
      <c r="C55" s="1" t="s">
        <v>13</v>
      </c>
      <c r="D55" s="6">
        <f>SUM($E$76:$U$76)/($E$15+$E$23)</f>
        <v>1.7037533333333335</v>
      </c>
      <c r="E55" s="4">
        <f>SUM($E$76:$U$76)-$E$15-$E$23</f>
        <v>4222.5200000000004</v>
      </c>
      <c r="K55" s="4">
        <f t="shared" si="3"/>
        <v>1</v>
      </c>
      <c r="L55" s="2">
        <f t="shared" si="2"/>
        <v>17</v>
      </c>
    </row>
    <row r="56" spans="1:29" x14ac:dyDescent="0.35">
      <c r="A56" s="1" t="s">
        <v>14</v>
      </c>
      <c r="B56" s="1">
        <f t="shared" si="1"/>
        <v>18</v>
      </c>
      <c r="C56" s="1" t="s">
        <v>13</v>
      </c>
      <c r="D56" s="6">
        <f>SUM($E$76:$V$76)/($E$15+$E$23)</f>
        <v>1.7867533333333334</v>
      </c>
      <c r="E56" s="4">
        <f>SUM($E$76:$V$76)-$E$15-$E$23</f>
        <v>4720.5200000000004</v>
      </c>
      <c r="K56" s="4">
        <f t="shared" si="3"/>
        <v>1</v>
      </c>
      <c r="L56" s="2">
        <f t="shared" si="2"/>
        <v>18</v>
      </c>
    </row>
    <row r="57" spans="1:29" x14ac:dyDescent="0.35">
      <c r="A57" s="1" t="s">
        <v>14</v>
      </c>
      <c r="B57" s="1">
        <f t="shared" si="1"/>
        <v>19</v>
      </c>
      <c r="C57" s="1" t="s">
        <v>13</v>
      </c>
      <c r="D57" s="6">
        <f>SUM($E$76:$W$76)/($E$15+$E$23)</f>
        <v>1.8697533333333334</v>
      </c>
      <c r="E57" s="4">
        <f>SUM($E$76:$W$76)-$E$15-$E$23</f>
        <v>5218.5200000000004</v>
      </c>
      <c r="K57" s="4">
        <f t="shared" si="3"/>
        <v>1</v>
      </c>
      <c r="L57" s="2">
        <f t="shared" si="2"/>
        <v>19</v>
      </c>
    </row>
    <row r="58" spans="1:29" x14ac:dyDescent="0.35">
      <c r="A58" s="1" t="s">
        <v>14</v>
      </c>
      <c r="B58" s="1">
        <f t="shared" si="1"/>
        <v>20</v>
      </c>
      <c r="C58" s="1" t="s">
        <v>13</v>
      </c>
      <c r="D58" s="6">
        <f>SUM($E$76:$X$76)/($E$15+$E$23)</f>
        <v>1.9527533333333333</v>
      </c>
      <c r="E58" s="4">
        <f>SUM($E$76:$X$76)-$E$15-$E$23</f>
        <v>5716.52</v>
      </c>
      <c r="K58" s="4">
        <f t="shared" si="3"/>
        <v>1</v>
      </c>
      <c r="L58" s="2">
        <f t="shared" si="2"/>
        <v>20</v>
      </c>
    </row>
    <row r="59" spans="1:29" x14ac:dyDescent="0.35">
      <c r="A59" s="1" t="s">
        <v>14</v>
      </c>
      <c r="B59" s="1">
        <f t="shared" si="1"/>
        <v>21</v>
      </c>
      <c r="C59" s="1" t="s">
        <v>13</v>
      </c>
      <c r="D59" s="6">
        <f>SUM($E$76:$Y$76)/($E$15+$E$23)</f>
        <v>2.0357533333333335</v>
      </c>
      <c r="E59" s="4">
        <f>SUM($E$76:$Y$76)-$E$15-$E$23</f>
        <v>6214.52</v>
      </c>
      <c r="K59" s="4">
        <f t="shared" si="3"/>
        <v>2</v>
      </c>
      <c r="L59" s="2">
        <f t="shared" si="2"/>
        <v>21</v>
      </c>
    </row>
    <row r="60" spans="1:29" x14ac:dyDescent="0.35">
      <c r="A60" s="1" t="s">
        <v>14</v>
      </c>
      <c r="B60" s="1">
        <f t="shared" si="1"/>
        <v>22</v>
      </c>
      <c r="C60" s="1" t="s">
        <v>13</v>
      </c>
      <c r="D60" s="6">
        <f>SUM($E$76:$SZ76)/($E$15+$E$23)</f>
        <v>2.3677533333333334</v>
      </c>
      <c r="E60" s="4">
        <f>SUM($E$76:$Z$76)-$E$15-$E$23</f>
        <v>6712.52</v>
      </c>
      <c r="K60" s="4">
        <f t="shared" si="3"/>
        <v>2</v>
      </c>
      <c r="L60" s="2">
        <f t="shared" si="2"/>
        <v>22</v>
      </c>
    </row>
    <row r="61" spans="1:29" x14ac:dyDescent="0.35">
      <c r="A61" s="1" t="s">
        <v>14</v>
      </c>
      <c r="B61" s="1">
        <f t="shared" si="1"/>
        <v>23</v>
      </c>
      <c r="C61" s="1" t="s">
        <v>13</v>
      </c>
      <c r="D61" s="6">
        <f>SUM($E$76:$AA$76)/($E$15+$E$23)</f>
        <v>2.2017533333333335</v>
      </c>
      <c r="E61" s="4">
        <f>SUM($E$76:$AA$76)-$E$15-$E$23</f>
        <v>7210.52</v>
      </c>
      <c r="K61" s="4">
        <f t="shared" si="3"/>
        <v>2</v>
      </c>
      <c r="L61" s="2">
        <f t="shared" si="2"/>
        <v>23</v>
      </c>
    </row>
    <row r="62" spans="1:29" x14ac:dyDescent="0.35">
      <c r="A62" s="1" t="s">
        <v>14</v>
      </c>
      <c r="B62" s="1">
        <f t="shared" si="1"/>
        <v>24</v>
      </c>
      <c r="C62" s="1" t="s">
        <v>13</v>
      </c>
      <c r="D62" s="6">
        <f>SUM($E$76:$AB$76)/($E$15+$E$23)</f>
        <v>2.2847533333333332</v>
      </c>
      <c r="E62" s="4">
        <f>SUM($E$76:$AB$76)-$E$15-$E$23</f>
        <v>7708.52</v>
      </c>
      <c r="K62" s="4">
        <f t="shared" si="3"/>
        <v>2</v>
      </c>
      <c r="L62" s="2">
        <f t="shared" si="2"/>
        <v>24</v>
      </c>
      <c r="T62" s="7"/>
    </row>
    <row r="63" spans="1:29" x14ac:dyDescent="0.35">
      <c r="A63" s="1" t="s">
        <v>14</v>
      </c>
      <c r="B63" s="1">
        <f t="shared" si="1"/>
        <v>25</v>
      </c>
      <c r="C63" s="1" t="s">
        <v>13</v>
      </c>
      <c r="D63" s="6">
        <f>SUM($E$76:$AC$76)/($E$15+$E$23)</f>
        <v>2.3677533333333334</v>
      </c>
      <c r="E63" s="4">
        <f>SUM($E$76:$AC$76)-$E$15-$E$23</f>
        <v>8206.52</v>
      </c>
      <c r="K63" s="4">
        <f t="shared" si="3"/>
        <v>2</v>
      </c>
      <c r="L63" s="2">
        <f t="shared" si="2"/>
        <v>25</v>
      </c>
      <c r="T63" s="2"/>
    </row>
    <row r="64" spans="1:29" x14ac:dyDescent="0.3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row>
    <row r="65" spans="1:29" x14ac:dyDescent="0.35">
      <c r="A65" s="5" t="s">
        <v>48</v>
      </c>
      <c r="H65" s="4"/>
      <c r="T65" s="2"/>
    </row>
    <row r="66" spans="1:29" x14ac:dyDescent="0.35">
      <c r="B66" s="2"/>
      <c r="C66" s="2"/>
      <c r="E66" s="7">
        <v>2023</v>
      </c>
      <c r="F66" s="7">
        <f>E66+1</f>
        <v>2024</v>
      </c>
      <c r="G66" s="7">
        <f t="shared" ref="G66:K66" si="4">F66+1</f>
        <v>2025</v>
      </c>
      <c r="H66" s="7">
        <f t="shared" si="4"/>
        <v>2026</v>
      </c>
      <c r="I66" s="7">
        <f t="shared" si="4"/>
        <v>2027</v>
      </c>
      <c r="J66" s="7">
        <f t="shared" si="4"/>
        <v>2028</v>
      </c>
      <c r="K66" s="7">
        <f t="shared" si="4"/>
        <v>2029</v>
      </c>
      <c r="L66" s="7">
        <f t="shared" ref="L66" si="5">K66+1</f>
        <v>2030</v>
      </c>
      <c r="M66" s="7">
        <f t="shared" ref="M66" si="6">L66+1</f>
        <v>2031</v>
      </c>
      <c r="N66" s="7">
        <f t="shared" ref="N66" si="7">M66+1</f>
        <v>2032</v>
      </c>
      <c r="O66" s="7">
        <f t="shared" ref="O66" si="8">N66+1</f>
        <v>2033</v>
      </c>
      <c r="P66" s="7">
        <f t="shared" ref="P66" si="9">O66+1</f>
        <v>2034</v>
      </c>
      <c r="Q66" s="7">
        <f t="shared" ref="Q66" si="10">P66+1</f>
        <v>2035</v>
      </c>
      <c r="R66" s="7">
        <f t="shared" ref="R66" si="11">Q66+1</f>
        <v>2036</v>
      </c>
      <c r="S66" s="7">
        <f>R66+1</f>
        <v>2037</v>
      </c>
      <c r="T66" s="7">
        <f t="shared" ref="T66:AC66" si="12">S66+1</f>
        <v>2038</v>
      </c>
      <c r="U66" s="7">
        <f t="shared" si="12"/>
        <v>2039</v>
      </c>
      <c r="V66" s="7">
        <f t="shared" si="12"/>
        <v>2040</v>
      </c>
      <c r="W66" s="7">
        <f t="shared" si="12"/>
        <v>2041</v>
      </c>
      <c r="X66" s="7">
        <f t="shared" si="12"/>
        <v>2042</v>
      </c>
      <c r="Y66" s="7">
        <f t="shared" si="12"/>
        <v>2043</v>
      </c>
      <c r="Z66" s="7">
        <f t="shared" si="12"/>
        <v>2044</v>
      </c>
      <c r="AA66" s="7">
        <f t="shared" si="12"/>
        <v>2045</v>
      </c>
      <c r="AB66" s="7">
        <f t="shared" si="12"/>
        <v>2046</v>
      </c>
      <c r="AC66" s="7">
        <f t="shared" si="12"/>
        <v>2047</v>
      </c>
    </row>
    <row r="67" spans="1:29" x14ac:dyDescent="0.35">
      <c r="A67" s="1" t="s">
        <v>2</v>
      </c>
      <c r="B67" s="2"/>
      <c r="C67" s="2"/>
      <c r="E67" s="2">
        <v>0</v>
      </c>
      <c r="F67" s="2">
        <v>0</v>
      </c>
      <c r="G67" s="2">
        <v>0.36</v>
      </c>
      <c r="H67" s="2">
        <v>0.36</v>
      </c>
      <c r="I67" s="2">
        <v>0.45</v>
      </c>
      <c r="J67" s="2">
        <v>0.54</v>
      </c>
      <c r="K67" s="2">
        <v>0.63</v>
      </c>
      <c r="L67" s="2">
        <v>0.72</v>
      </c>
      <c r="M67" s="2">
        <v>1</v>
      </c>
      <c r="N67" s="2">
        <v>1</v>
      </c>
      <c r="O67" s="2">
        <v>1</v>
      </c>
      <c r="P67" s="2">
        <v>1</v>
      </c>
      <c r="Q67" s="2">
        <v>1</v>
      </c>
      <c r="R67" s="2">
        <v>1</v>
      </c>
      <c r="S67" s="2">
        <v>1</v>
      </c>
      <c r="T67" s="2">
        <v>2</v>
      </c>
      <c r="U67" s="2">
        <v>3</v>
      </c>
      <c r="V67" s="2">
        <v>4</v>
      </c>
      <c r="W67" s="2">
        <v>5</v>
      </c>
      <c r="X67" s="2">
        <v>6</v>
      </c>
      <c r="Y67" s="2">
        <v>7</v>
      </c>
      <c r="Z67" s="2">
        <v>8</v>
      </c>
      <c r="AA67" s="2">
        <v>9</v>
      </c>
      <c r="AB67" s="2">
        <v>10</v>
      </c>
      <c r="AC67" s="2">
        <v>11</v>
      </c>
    </row>
    <row r="68" spans="1:29" x14ac:dyDescent="0.35">
      <c r="A68" s="1" t="s">
        <v>8</v>
      </c>
      <c r="B68" s="2"/>
      <c r="C68" s="2"/>
      <c r="E68" s="2">
        <f t="shared" ref="E68:AC68" si="13">$E$17</f>
        <v>2800</v>
      </c>
      <c r="F68" s="2">
        <f t="shared" si="13"/>
        <v>2800</v>
      </c>
      <c r="G68" s="2">
        <f t="shared" si="13"/>
        <v>2800</v>
      </c>
      <c r="H68" s="2">
        <f t="shared" si="13"/>
        <v>2800</v>
      </c>
      <c r="I68" s="2">
        <f t="shared" si="13"/>
        <v>2800</v>
      </c>
      <c r="J68" s="2">
        <f t="shared" si="13"/>
        <v>2800</v>
      </c>
      <c r="K68" s="2">
        <f t="shared" si="13"/>
        <v>2800</v>
      </c>
      <c r="L68" s="2">
        <f t="shared" si="13"/>
        <v>2800</v>
      </c>
      <c r="M68" s="2">
        <f t="shared" si="13"/>
        <v>2800</v>
      </c>
      <c r="N68" s="2">
        <f t="shared" si="13"/>
        <v>2800</v>
      </c>
      <c r="O68" s="2">
        <f t="shared" si="13"/>
        <v>2800</v>
      </c>
      <c r="P68" s="2">
        <f t="shared" si="13"/>
        <v>2800</v>
      </c>
      <c r="Q68" s="2">
        <f t="shared" si="13"/>
        <v>2800</v>
      </c>
      <c r="R68" s="2">
        <f t="shared" si="13"/>
        <v>2800</v>
      </c>
      <c r="S68" s="2">
        <f t="shared" si="13"/>
        <v>2800</v>
      </c>
      <c r="T68" s="2">
        <f t="shared" si="13"/>
        <v>2800</v>
      </c>
      <c r="U68" s="2">
        <f t="shared" si="13"/>
        <v>2800</v>
      </c>
      <c r="V68" s="2">
        <f t="shared" si="13"/>
        <v>2800</v>
      </c>
      <c r="W68" s="2">
        <f t="shared" si="13"/>
        <v>2800</v>
      </c>
      <c r="X68" s="2">
        <f t="shared" si="13"/>
        <v>2800</v>
      </c>
      <c r="Y68" s="2">
        <f t="shared" si="13"/>
        <v>2800</v>
      </c>
      <c r="Z68" s="2">
        <f t="shared" si="13"/>
        <v>2800</v>
      </c>
      <c r="AA68" s="2">
        <f t="shared" si="13"/>
        <v>2800</v>
      </c>
      <c r="AB68" s="2">
        <f t="shared" si="13"/>
        <v>2800</v>
      </c>
      <c r="AC68" s="2">
        <f t="shared" si="13"/>
        <v>2800</v>
      </c>
    </row>
    <row r="70" spans="1:29" x14ac:dyDescent="0.35">
      <c r="A70" s="10" t="s">
        <v>10</v>
      </c>
      <c r="B70" s="2"/>
      <c r="C70" s="2"/>
      <c r="E70" s="2"/>
      <c r="F70" s="2"/>
      <c r="G70" s="2"/>
      <c r="H70" s="2"/>
      <c r="I70" s="2"/>
      <c r="J70" s="2"/>
      <c r="K70" s="2"/>
      <c r="L70" s="2"/>
      <c r="M70" s="2"/>
      <c r="N70" s="2"/>
    </row>
    <row r="71" spans="1:29" x14ac:dyDescent="0.35">
      <c r="A71" s="1" t="s">
        <v>9</v>
      </c>
      <c r="B71" s="2"/>
      <c r="C71" s="2"/>
      <c r="E71" s="4">
        <f t="shared" ref="E71:S71" si="14">IF((1-E67)*$E$30&gt;$E$29,$E$29,(1-E67)*$E$30)</f>
        <v>1800</v>
      </c>
      <c r="F71" s="4">
        <f t="shared" si="14"/>
        <v>1800</v>
      </c>
      <c r="G71" s="4">
        <f t="shared" si="14"/>
        <v>1152</v>
      </c>
      <c r="H71" s="4">
        <f t="shared" si="14"/>
        <v>1152</v>
      </c>
      <c r="I71" s="4">
        <f t="shared" si="14"/>
        <v>990.00000000000011</v>
      </c>
      <c r="J71" s="4">
        <f t="shared" si="14"/>
        <v>827.99999999999989</v>
      </c>
      <c r="K71" s="4">
        <f t="shared" si="14"/>
        <v>666</v>
      </c>
      <c r="L71" s="4">
        <f t="shared" si="14"/>
        <v>504.00000000000006</v>
      </c>
      <c r="M71" s="4">
        <f t="shared" si="14"/>
        <v>0</v>
      </c>
      <c r="N71" s="4">
        <f t="shared" si="14"/>
        <v>0</v>
      </c>
      <c r="O71" s="4">
        <f t="shared" si="14"/>
        <v>0</v>
      </c>
      <c r="P71" s="4">
        <f t="shared" si="14"/>
        <v>0</v>
      </c>
      <c r="Q71" s="4">
        <f t="shared" si="14"/>
        <v>0</v>
      </c>
      <c r="R71" s="4">
        <f t="shared" si="14"/>
        <v>0</v>
      </c>
      <c r="S71" s="4">
        <f t="shared" si="14"/>
        <v>0</v>
      </c>
      <c r="T71" s="4">
        <v>0</v>
      </c>
      <c r="U71" s="4">
        <v>0</v>
      </c>
      <c r="V71" s="4">
        <v>0</v>
      </c>
      <c r="W71" s="4">
        <v>0</v>
      </c>
      <c r="X71" s="4">
        <v>0</v>
      </c>
      <c r="Y71" s="4">
        <v>0</v>
      </c>
      <c r="Z71" s="4">
        <v>0</v>
      </c>
      <c r="AA71" s="4">
        <v>0</v>
      </c>
      <c r="AB71" s="4">
        <v>0</v>
      </c>
      <c r="AC71" s="4">
        <v>0</v>
      </c>
    </row>
    <row r="72" spans="1:29" x14ac:dyDescent="0.35">
      <c r="A72" s="1" t="s">
        <v>1</v>
      </c>
      <c r="B72" s="2"/>
      <c r="C72" s="2"/>
      <c r="E72" s="4">
        <f t="shared" ref="E72:S72" si="15">$E$30-E71</f>
        <v>0</v>
      </c>
      <c r="F72" s="4">
        <f t="shared" si="15"/>
        <v>0</v>
      </c>
      <c r="G72" s="4">
        <f t="shared" si="15"/>
        <v>648</v>
      </c>
      <c r="H72" s="4">
        <f t="shared" si="15"/>
        <v>648</v>
      </c>
      <c r="I72" s="4">
        <f t="shared" si="15"/>
        <v>809.99999999999989</v>
      </c>
      <c r="J72" s="4">
        <f t="shared" si="15"/>
        <v>972.00000000000011</v>
      </c>
      <c r="K72" s="4">
        <f t="shared" si="15"/>
        <v>1134</v>
      </c>
      <c r="L72" s="4">
        <f t="shared" si="15"/>
        <v>1296</v>
      </c>
      <c r="M72" s="4">
        <f t="shared" si="15"/>
        <v>1800</v>
      </c>
      <c r="N72" s="4">
        <f t="shared" si="15"/>
        <v>1800</v>
      </c>
      <c r="O72" s="4">
        <f t="shared" si="15"/>
        <v>1800</v>
      </c>
      <c r="P72" s="4">
        <f t="shared" si="15"/>
        <v>1800</v>
      </c>
      <c r="Q72" s="4">
        <f t="shared" si="15"/>
        <v>1800</v>
      </c>
      <c r="R72" s="4">
        <f t="shared" si="15"/>
        <v>1800</v>
      </c>
      <c r="S72" s="4">
        <f t="shared" si="15"/>
        <v>1800</v>
      </c>
      <c r="T72" s="4">
        <f t="shared" ref="T72:AC72" si="16">$E$30-T71</f>
        <v>1800</v>
      </c>
      <c r="U72" s="4">
        <f t="shared" si="16"/>
        <v>1800</v>
      </c>
      <c r="V72" s="4">
        <f t="shared" si="16"/>
        <v>1800</v>
      </c>
      <c r="W72" s="4">
        <f t="shared" si="16"/>
        <v>1800</v>
      </c>
      <c r="X72" s="4">
        <f t="shared" si="16"/>
        <v>1800</v>
      </c>
      <c r="Y72" s="4">
        <f t="shared" si="16"/>
        <v>1800</v>
      </c>
      <c r="Z72" s="4">
        <f t="shared" si="16"/>
        <v>1800</v>
      </c>
      <c r="AA72" s="4">
        <f t="shared" si="16"/>
        <v>1800</v>
      </c>
      <c r="AB72" s="4">
        <f t="shared" si="16"/>
        <v>1800</v>
      </c>
      <c r="AC72" s="4">
        <f t="shared" si="16"/>
        <v>1800</v>
      </c>
    </row>
    <row r="73" spans="1:29" x14ac:dyDescent="0.35">
      <c r="A73" s="1" t="s">
        <v>12</v>
      </c>
      <c r="B73" s="2"/>
      <c r="C73" s="2"/>
      <c r="E73" s="4">
        <f t="shared" ref="E73:AC73" si="17">$E$28</f>
        <v>840</v>
      </c>
      <c r="F73" s="4">
        <f t="shared" si="17"/>
        <v>840</v>
      </c>
      <c r="G73" s="4">
        <f t="shared" si="17"/>
        <v>840</v>
      </c>
      <c r="H73" s="4">
        <f t="shared" si="17"/>
        <v>840</v>
      </c>
      <c r="I73" s="4">
        <f t="shared" si="17"/>
        <v>840</v>
      </c>
      <c r="J73" s="4">
        <f t="shared" si="17"/>
        <v>840</v>
      </c>
      <c r="K73" s="4">
        <f t="shared" si="17"/>
        <v>840</v>
      </c>
      <c r="L73" s="4">
        <f t="shared" si="17"/>
        <v>840</v>
      </c>
      <c r="M73" s="4">
        <f t="shared" si="17"/>
        <v>840</v>
      </c>
      <c r="N73" s="4">
        <f t="shared" si="17"/>
        <v>840</v>
      </c>
      <c r="O73" s="4">
        <f t="shared" si="17"/>
        <v>840</v>
      </c>
      <c r="P73" s="4">
        <f t="shared" si="17"/>
        <v>840</v>
      </c>
      <c r="Q73" s="4">
        <f t="shared" si="17"/>
        <v>840</v>
      </c>
      <c r="R73" s="4">
        <f t="shared" si="17"/>
        <v>840</v>
      </c>
      <c r="S73" s="4">
        <f t="shared" si="17"/>
        <v>840</v>
      </c>
      <c r="T73" s="4">
        <f t="shared" si="17"/>
        <v>840</v>
      </c>
      <c r="U73" s="4">
        <f t="shared" si="17"/>
        <v>840</v>
      </c>
      <c r="V73" s="4">
        <f t="shared" si="17"/>
        <v>840</v>
      </c>
      <c r="W73" s="4">
        <f t="shared" si="17"/>
        <v>840</v>
      </c>
      <c r="X73" s="4">
        <f t="shared" si="17"/>
        <v>840</v>
      </c>
      <c r="Y73" s="4">
        <f t="shared" si="17"/>
        <v>840</v>
      </c>
      <c r="Z73" s="4">
        <f t="shared" si="17"/>
        <v>840</v>
      </c>
      <c r="AA73" s="4">
        <f t="shared" si="17"/>
        <v>840</v>
      </c>
      <c r="AB73" s="4">
        <f t="shared" si="17"/>
        <v>840</v>
      </c>
      <c r="AC73" s="4">
        <f t="shared" si="17"/>
        <v>840</v>
      </c>
    </row>
    <row r="74" spans="1:29" x14ac:dyDescent="0.35">
      <c r="A74" s="1" t="s">
        <v>29</v>
      </c>
      <c r="B74" s="2"/>
      <c r="C74" s="2"/>
      <c r="E74" s="4">
        <f>SUM(E71:E73)</f>
        <v>2640</v>
      </c>
      <c r="F74" s="4">
        <f t="shared" ref="F74:N74" si="18">SUM(F71:F73)</f>
        <v>2640</v>
      </c>
      <c r="G74" s="4">
        <f t="shared" si="18"/>
        <v>2640</v>
      </c>
      <c r="H74" s="4">
        <f t="shared" si="18"/>
        <v>2640</v>
      </c>
      <c r="I74" s="4">
        <f t="shared" si="18"/>
        <v>2640</v>
      </c>
      <c r="J74" s="4">
        <f t="shared" si="18"/>
        <v>2640</v>
      </c>
      <c r="K74" s="4">
        <f t="shared" si="18"/>
        <v>2640</v>
      </c>
      <c r="L74" s="4">
        <f t="shared" si="18"/>
        <v>2640</v>
      </c>
      <c r="M74" s="4">
        <f t="shared" si="18"/>
        <v>2640</v>
      </c>
      <c r="N74" s="4">
        <f t="shared" si="18"/>
        <v>2640</v>
      </c>
      <c r="O74" s="4">
        <f>SUM(O71:O73)</f>
        <v>2640</v>
      </c>
      <c r="P74" s="4">
        <f>SUM(P71:P73)</f>
        <v>2640</v>
      </c>
      <c r="Q74" s="4">
        <f>SUM(Q71:Q73)</f>
        <v>2640</v>
      </c>
      <c r="R74" s="4">
        <f>SUM(R71:R73)</f>
        <v>2640</v>
      </c>
      <c r="S74" s="4">
        <f>SUM(S71:S73)</f>
        <v>2640</v>
      </c>
      <c r="T74" s="4">
        <f t="shared" ref="T74:AC74" si="19">SUM(T71:T73)</f>
        <v>2640</v>
      </c>
      <c r="U74" s="4">
        <f t="shared" si="19"/>
        <v>2640</v>
      </c>
      <c r="V74" s="4">
        <f t="shared" si="19"/>
        <v>2640</v>
      </c>
      <c r="W74" s="4">
        <f t="shared" si="19"/>
        <v>2640</v>
      </c>
      <c r="X74" s="4">
        <f t="shared" si="19"/>
        <v>2640</v>
      </c>
      <c r="Y74" s="4">
        <f t="shared" si="19"/>
        <v>2640</v>
      </c>
      <c r="Z74" s="4">
        <f t="shared" si="19"/>
        <v>2640</v>
      </c>
      <c r="AA74" s="4">
        <f t="shared" si="19"/>
        <v>2640</v>
      </c>
      <c r="AB74" s="4">
        <f t="shared" si="19"/>
        <v>2640</v>
      </c>
      <c r="AC74" s="4">
        <f t="shared" si="19"/>
        <v>2640</v>
      </c>
    </row>
    <row r="75" spans="1:29" x14ac:dyDescent="0.35">
      <c r="A75" s="1" t="s">
        <v>57</v>
      </c>
      <c r="B75" s="2"/>
      <c r="C75" s="2"/>
      <c r="E75" s="2"/>
      <c r="F75" s="2"/>
      <c r="G75" s="2"/>
      <c r="H75" s="2"/>
      <c r="I75" s="2"/>
      <c r="J75" s="2"/>
      <c r="K75" s="2"/>
      <c r="L75" s="2"/>
      <c r="M75" s="2"/>
      <c r="N75" s="2"/>
      <c r="P75" s="2">
        <v>1000</v>
      </c>
    </row>
    <row r="76" spans="1:29" x14ac:dyDescent="0.35">
      <c r="A76" s="10" t="s">
        <v>11</v>
      </c>
      <c r="C76" s="2"/>
      <c r="E76" s="9">
        <f t="shared" ref="E76:S76" si="20">E71*$E$19+E72*$E$20+E73*$E$19</f>
        <v>1056</v>
      </c>
      <c r="F76" s="9">
        <f t="shared" si="20"/>
        <v>1056</v>
      </c>
      <c r="G76" s="9">
        <f t="shared" si="20"/>
        <v>855.12</v>
      </c>
      <c r="H76" s="9">
        <f t="shared" si="20"/>
        <v>855.12</v>
      </c>
      <c r="I76" s="9">
        <f t="shared" si="20"/>
        <v>804.90000000000009</v>
      </c>
      <c r="J76" s="9">
        <f t="shared" si="20"/>
        <v>754.68000000000006</v>
      </c>
      <c r="K76" s="9">
        <f t="shared" si="20"/>
        <v>704.46</v>
      </c>
      <c r="L76" s="9">
        <f t="shared" si="20"/>
        <v>654.24</v>
      </c>
      <c r="M76" s="9">
        <f t="shared" si="20"/>
        <v>498</v>
      </c>
      <c r="N76" s="9">
        <f t="shared" si="20"/>
        <v>498</v>
      </c>
      <c r="O76" s="9">
        <f t="shared" si="20"/>
        <v>498</v>
      </c>
      <c r="P76" s="9">
        <f>P71*$E$19+P72*$E$20+P73*$E$19-P75</f>
        <v>-502</v>
      </c>
      <c r="Q76" s="9">
        <f t="shared" si="20"/>
        <v>498</v>
      </c>
      <c r="R76" s="9">
        <f t="shared" si="20"/>
        <v>498</v>
      </c>
      <c r="S76" s="9">
        <f t="shared" si="20"/>
        <v>498</v>
      </c>
      <c r="T76" s="9">
        <f t="shared" ref="T76:AC76" si="21">T71*$E$19+T72*$E$20+T73*$E$19</f>
        <v>498</v>
      </c>
      <c r="U76" s="9">
        <f t="shared" si="21"/>
        <v>498</v>
      </c>
      <c r="V76" s="9">
        <f t="shared" si="21"/>
        <v>498</v>
      </c>
      <c r="W76" s="9">
        <f t="shared" si="21"/>
        <v>498</v>
      </c>
      <c r="X76" s="9">
        <f t="shared" si="21"/>
        <v>498</v>
      </c>
      <c r="Y76" s="9">
        <f t="shared" si="21"/>
        <v>498</v>
      </c>
      <c r="Z76" s="9">
        <f t="shared" si="21"/>
        <v>498</v>
      </c>
      <c r="AA76" s="9">
        <f t="shared" si="21"/>
        <v>498</v>
      </c>
      <c r="AB76" s="9">
        <f t="shared" si="21"/>
        <v>498</v>
      </c>
      <c r="AC76" s="9">
        <f t="shared" si="21"/>
        <v>498</v>
      </c>
    </row>
    <row r="78" spans="1:29" x14ac:dyDescent="0.35">
      <c r="T78" s="3"/>
    </row>
    <row r="80" spans="1:29" x14ac:dyDescent="0.35">
      <c r="A80" s="5"/>
      <c r="I80" s="3"/>
      <c r="J80" s="3"/>
      <c r="K80" s="3"/>
      <c r="L80" s="3"/>
      <c r="M80" s="3"/>
      <c r="N80" s="3"/>
      <c r="O80" s="3"/>
      <c r="P80" s="3"/>
      <c r="Q80" s="3"/>
      <c r="R80" s="3"/>
      <c r="S80" s="3"/>
    </row>
    <row r="81" spans="1:19" x14ac:dyDescent="0.35">
      <c r="F81" s="12"/>
    </row>
    <row r="82" spans="1:19" x14ac:dyDescent="0.35">
      <c r="C82" s="12"/>
      <c r="D82" s="12"/>
      <c r="E82" s="3"/>
      <c r="F82" s="3"/>
      <c r="G82" s="3"/>
      <c r="H82" s="3"/>
      <c r="I82" s="3"/>
      <c r="J82" s="3"/>
      <c r="K82" s="3"/>
      <c r="L82" s="3"/>
      <c r="M82" s="3"/>
      <c r="N82" s="3"/>
      <c r="O82" s="3"/>
      <c r="P82" s="3"/>
      <c r="Q82" s="3"/>
      <c r="R82" s="3"/>
      <c r="S82" s="3"/>
    </row>
    <row r="83" spans="1:19" x14ac:dyDescent="0.35">
      <c r="A83" s="3"/>
      <c r="B83" s="13"/>
      <c r="C83" s="3"/>
      <c r="D83" s="3"/>
      <c r="F83" s="2"/>
      <c r="G83" s="2"/>
      <c r="H83" s="2"/>
      <c r="I83" s="2"/>
      <c r="J83" s="2"/>
    </row>
    <row r="84" spans="1:19" x14ac:dyDescent="0.35">
      <c r="A84" s="3"/>
      <c r="B84" s="13"/>
      <c r="C84" s="3"/>
      <c r="D84" s="3"/>
      <c r="F84" s="4"/>
      <c r="G84" s="4"/>
      <c r="H84" s="2"/>
      <c r="I84" s="4"/>
      <c r="J84" s="4"/>
    </row>
    <row r="85" spans="1:19" x14ac:dyDescent="0.35">
      <c r="A85" s="3"/>
      <c r="B85" s="13"/>
      <c r="C85" s="3"/>
      <c r="D85" s="3"/>
      <c r="F85" s="4"/>
      <c r="G85" s="4"/>
      <c r="H85" s="2"/>
      <c r="I85" s="4"/>
      <c r="J85" s="4"/>
    </row>
    <row r="86" spans="1:19" x14ac:dyDescent="0.35">
      <c r="A86" s="3"/>
      <c r="B86" s="13"/>
      <c r="C86" s="3"/>
      <c r="D86" s="3"/>
      <c r="F86" s="4"/>
      <c r="G86" s="4"/>
      <c r="H86" s="2"/>
      <c r="I86" s="4"/>
      <c r="J86" s="4"/>
    </row>
    <row r="87" spans="1:19" x14ac:dyDescent="0.35">
      <c r="A87" s="3"/>
      <c r="B87" s="13"/>
      <c r="C87" s="3"/>
      <c r="D87" s="3"/>
      <c r="F87" s="4"/>
      <c r="G87" s="4"/>
      <c r="H87" s="2"/>
      <c r="I87" s="4"/>
      <c r="J87" s="4"/>
    </row>
    <row r="88" spans="1:19" x14ac:dyDescent="0.35">
      <c r="A88" s="3"/>
      <c r="B88" s="13"/>
      <c r="C88" s="3"/>
      <c r="D88" s="3"/>
      <c r="F88" s="4"/>
      <c r="G88" s="4"/>
      <c r="H88" s="2"/>
      <c r="I88" s="4"/>
      <c r="J88" s="4"/>
    </row>
    <row r="89" spans="1:19" x14ac:dyDescent="0.35">
      <c r="A89" s="3"/>
      <c r="B89" s="13"/>
      <c r="C89" s="3"/>
      <c r="D89" s="3"/>
      <c r="F89" s="4"/>
      <c r="G89" s="4"/>
      <c r="H89" s="2"/>
      <c r="I89" s="4"/>
      <c r="J89" s="4"/>
    </row>
    <row r="90" spans="1:19" x14ac:dyDescent="0.35">
      <c r="A90" s="3"/>
      <c r="B90" s="13"/>
      <c r="C90" s="3"/>
      <c r="D90" s="3"/>
      <c r="F90" s="4"/>
      <c r="G90" s="4"/>
      <c r="H90" s="2"/>
      <c r="I90" s="4"/>
      <c r="J90" s="4"/>
    </row>
    <row r="91" spans="1:19" x14ac:dyDescent="0.35">
      <c r="A91" s="3"/>
      <c r="B91" s="13"/>
      <c r="C91" s="3"/>
      <c r="D91" s="3"/>
      <c r="F91" s="4"/>
      <c r="G91" s="4"/>
      <c r="H91" s="2"/>
      <c r="I91" s="4"/>
      <c r="J91" s="4"/>
    </row>
    <row r="92" spans="1:19" x14ac:dyDescent="0.35">
      <c r="B92" s="13"/>
      <c r="C92" s="3"/>
      <c r="D92" s="3"/>
      <c r="F92" s="4"/>
      <c r="G92" s="4"/>
      <c r="H92" s="2"/>
      <c r="I92" s="4"/>
      <c r="J92" s="4"/>
    </row>
    <row r="93" spans="1:19" x14ac:dyDescent="0.35">
      <c r="B93" s="13"/>
      <c r="C93" s="3"/>
      <c r="D93" s="3"/>
      <c r="F93" s="4"/>
      <c r="G93" s="4"/>
      <c r="H93" s="2"/>
      <c r="I93" s="4"/>
      <c r="J93" s="4"/>
    </row>
    <row r="94" spans="1:19" x14ac:dyDescent="0.35">
      <c r="B94" s="13"/>
      <c r="C94" s="3"/>
      <c r="D94" s="3"/>
      <c r="F94" s="4"/>
      <c r="G94" s="4"/>
      <c r="H94" s="2"/>
      <c r="I94" s="4"/>
      <c r="J94" s="4"/>
    </row>
    <row r="95" spans="1:19" x14ac:dyDescent="0.35">
      <c r="B95" s="13"/>
      <c r="C95" s="3"/>
      <c r="D95" s="3"/>
      <c r="F95" s="4"/>
      <c r="G95" s="4"/>
      <c r="H95" s="2"/>
      <c r="I95" s="4"/>
      <c r="J95" s="4"/>
    </row>
    <row r="96" spans="1:19" x14ac:dyDescent="0.35">
      <c r="B96" s="13"/>
      <c r="C96" s="3"/>
      <c r="D96" s="3"/>
      <c r="F96" s="4"/>
      <c r="G96" s="4"/>
      <c r="H96" s="2"/>
      <c r="I96" s="4"/>
      <c r="J96" s="4"/>
    </row>
    <row r="97" spans="2:10" x14ac:dyDescent="0.35">
      <c r="B97" s="13"/>
      <c r="C97" s="3"/>
      <c r="D97" s="3"/>
      <c r="F97" s="4"/>
      <c r="G97" s="4"/>
      <c r="H97" s="2"/>
      <c r="I97" s="4"/>
      <c r="J97" s="4"/>
    </row>
    <row r="98" spans="2:10" x14ac:dyDescent="0.35">
      <c r="B98" s="13"/>
      <c r="C98" s="3"/>
      <c r="D98" s="3"/>
      <c r="F98" s="4"/>
      <c r="G98" s="4"/>
      <c r="H98" s="2"/>
      <c r="I98" s="4"/>
      <c r="J98" s="4"/>
    </row>
  </sheetData>
  <phoneticPr fontId="4"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E74C6-D3D3-4084-AEEC-F4368BA63F71}">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F90C0-99F9-43F2-A760-171B2FC8CF5B}">
  <dimension ref="A1"/>
  <sheetViews>
    <sheetView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6445A-F9F7-4A4A-8D72-C06C9A43E234}">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811B6-3D21-4A57-81D6-40FC0D7EF012}">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Blad1</vt:lpstr>
      <vt:lpstr>Blad5</vt:lpstr>
      <vt:lpstr>Blad3</vt:lpstr>
      <vt:lpstr>Blad2</vt:lpstr>
      <vt:lpstr>Blad4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Janneke van Marion</dc:creator>
  <cp:lastModifiedBy>Janneke van Marion</cp:lastModifiedBy>
  <dcterms:created xsi:type="dcterms:W3CDTF">2021-08-03T07:42:15Z</dcterms:created>
  <dcterms:modified xsi:type="dcterms:W3CDTF">2022-10-06T13:28:45Z</dcterms:modified>
</cp:coreProperties>
</file>